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2"/>
  </bookViews>
  <sheets>
    <sheet name="1051" sheetId="1" r:id="rId1"/>
    <sheet name="1052" sheetId="2" r:id="rId2"/>
    <sheet name="105學年" sheetId="3" r:id="rId3"/>
  </sheets>
  <definedNames/>
  <calcPr fullCalcOnLoad="1"/>
</workbook>
</file>

<file path=xl/sharedStrings.xml><?xml version="1.0" encoding="utf-8"?>
<sst xmlns="http://schemas.openxmlformats.org/spreadsheetml/2006/main" count="146" uniqueCount="47">
  <si>
    <t>學
院</t>
  </si>
  <si>
    <t>系所</t>
  </si>
  <si>
    <t>總
平
均</t>
  </si>
  <si>
    <t>醫技</t>
  </si>
  <si>
    <t>醫工所</t>
  </si>
  <si>
    <t>環安</t>
  </si>
  <si>
    <t>生科所</t>
  </si>
  <si>
    <t>食科</t>
  </si>
  <si>
    <t>合  計</t>
  </si>
  <si>
    <t>護
理
學
院</t>
  </si>
  <si>
    <t>護理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</si>
  <si>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</si>
  <si>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</si>
  <si>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</si>
  <si>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</si>
  <si>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</si>
  <si>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</si>
  <si>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</si>
  <si>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</si>
  <si>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</si>
  <si>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視光系</t>
  </si>
  <si>
    <t>醫技碩士</t>
  </si>
  <si>
    <t>兒教</t>
  </si>
  <si>
    <t>醫放</t>
  </si>
  <si>
    <t>食科碩士</t>
  </si>
  <si>
    <t>環安碩士</t>
  </si>
  <si>
    <t>健
康
科
學
院</t>
  </si>
  <si>
    <t>牙技</t>
  </si>
  <si>
    <t>牙技碩士</t>
  </si>
  <si>
    <t>人文暨
通識
教育
學院</t>
  </si>
  <si>
    <t>護理碩士</t>
  </si>
  <si>
    <t>醫管碩士</t>
  </si>
  <si>
    <t>醫放碩博</t>
  </si>
  <si>
    <t>生醫所</t>
  </si>
  <si>
    <t>長照所</t>
  </si>
  <si>
    <t>生醫所</t>
  </si>
  <si>
    <t>生醫所</t>
  </si>
  <si>
    <t>備注: 進修部人數未含長福專班(1人)</t>
  </si>
  <si>
    <t>日間部</t>
  </si>
  <si>
    <t>進修部</t>
  </si>
  <si>
    <t>總
人
次</t>
  </si>
  <si>
    <t>使用人次</t>
  </si>
  <si>
    <t>學生
人數</t>
  </si>
  <si>
    <t>平均
使用人次</t>
  </si>
  <si>
    <t>105學年度各系所學生使用人次統計表</t>
  </si>
  <si>
    <r>
      <t>105學年度第</t>
    </r>
    <r>
      <rPr>
        <b/>
        <sz val="18"/>
        <rFont val="新細明體"/>
        <family val="1"/>
      </rPr>
      <t xml:space="preserve"> 2</t>
    </r>
    <r>
      <rPr>
        <sz val="18"/>
        <rFont val="新細明體"/>
        <family val="1"/>
      </rPr>
      <t>學期各系所學生使用人次統計表</t>
    </r>
  </si>
  <si>
    <r>
      <t>105學年度第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學期各系所學生使用人次統計表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</si>
</sst>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);[Red]\(0\)"/>
  </numFmts>
  <fonts count="46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7.00390625" style="0" customWidth="1"/>
    <col min="2" max="2" width="10.125" style="8" customWidth="1"/>
    <col min="3" max="3" width="9.125" style="0" customWidth="1"/>
    <col min="4" max="4" width="6.25390625" style="0" customWidth="1"/>
    <col min="5" max="5" width="9.50390625" style="0" customWidth="1"/>
    <col min="6" max="6" width="8.75390625" style="0" customWidth="1"/>
    <col min="7" max="7" width="6.625" style="0" customWidth="1"/>
    <col min="8" max="8" width="9.625" style="0" customWidth="1"/>
    <col min="9" max="9" width="9.75390625" style="14" customWidth="1"/>
    <col min="10" max="10" width="8.00390625" style="0" customWidth="1"/>
  </cols>
  <sheetData>
    <row r="1" spans="1:10" ht="25.5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1" customHeight="1">
      <c r="A2" s="18" t="s">
        <v>0</v>
      </c>
      <c r="B2" s="20" t="s">
        <v>1</v>
      </c>
      <c r="C2" s="22" t="s">
        <v>38</v>
      </c>
      <c r="D2" s="22"/>
      <c r="E2" s="22"/>
      <c r="F2" s="22" t="s">
        <v>39</v>
      </c>
      <c r="G2" s="22"/>
      <c r="H2" s="22"/>
      <c r="I2" s="38" t="s">
        <v>40</v>
      </c>
      <c r="J2" s="27" t="s">
        <v>2</v>
      </c>
    </row>
    <row r="3" spans="1:10" ht="44.25" customHeight="1">
      <c r="A3" s="19"/>
      <c r="B3" s="21"/>
      <c r="C3" s="1" t="s">
        <v>41</v>
      </c>
      <c r="D3" s="2" t="s">
        <v>42</v>
      </c>
      <c r="E3" s="2" t="s">
        <v>43</v>
      </c>
      <c r="F3" s="1" t="s">
        <v>41</v>
      </c>
      <c r="G3" s="2" t="s">
        <v>42</v>
      </c>
      <c r="H3" s="2" t="s">
        <v>43</v>
      </c>
      <c r="I3" s="39"/>
      <c r="J3" s="28"/>
    </row>
    <row r="4" spans="1:10" ht="16.5" customHeight="1">
      <c r="A4" s="31" t="s">
        <v>26</v>
      </c>
      <c r="B4" s="3" t="s">
        <v>3</v>
      </c>
      <c r="C4" s="4">
        <f>924+44</f>
        <v>968</v>
      </c>
      <c r="D4" s="4">
        <v>528</v>
      </c>
      <c r="E4" s="9">
        <f aca="true" t="shared" si="0" ref="E4:E21">C4/D4</f>
        <v>1.8333333333333333</v>
      </c>
      <c r="F4" s="4">
        <v>0</v>
      </c>
      <c r="G4" s="4">
        <v>0</v>
      </c>
      <c r="H4" s="9">
        <v>0</v>
      </c>
      <c r="I4" s="12">
        <f>C4+F4</f>
        <v>968</v>
      </c>
      <c r="J4" s="9">
        <f aca="true" t="shared" si="1" ref="J4:J34">(C4+F4)/(D4+G4)</f>
        <v>1.8333333333333333</v>
      </c>
    </row>
    <row r="5" spans="1:10" ht="16.5" customHeight="1">
      <c r="A5" s="32"/>
      <c r="B5" s="3" t="s">
        <v>23</v>
      </c>
      <c r="C5" s="4">
        <f>815+34</f>
        <v>849</v>
      </c>
      <c r="D5" s="4">
        <v>554</v>
      </c>
      <c r="E5" s="9">
        <f t="shared" si="0"/>
        <v>1.532490974729242</v>
      </c>
      <c r="F5" s="4">
        <v>0</v>
      </c>
      <c r="G5" s="4">
        <v>0</v>
      </c>
      <c r="H5" s="9">
        <v>0</v>
      </c>
      <c r="I5" s="12">
        <f aca="true" t="shared" si="2" ref="I5:I34">C5+F5</f>
        <v>849</v>
      </c>
      <c r="J5" s="9">
        <f t="shared" si="1"/>
        <v>1.532490974729242</v>
      </c>
    </row>
    <row r="6" spans="1:10" ht="16.5" customHeight="1">
      <c r="A6" s="32"/>
      <c r="B6" s="3" t="s">
        <v>27</v>
      </c>
      <c r="C6" s="4">
        <f>1403+88</f>
        <v>1491</v>
      </c>
      <c r="D6" s="4">
        <v>584</v>
      </c>
      <c r="E6" s="9">
        <f t="shared" si="0"/>
        <v>2.5530821917808217</v>
      </c>
      <c r="F6" s="4">
        <v>0</v>
      </c>
      <c r="G6" s="4">
        <v>0</v>
      </c>
      <c r="H6" s="9">
        <v>0</v>
      </c>
      <c r="I6" s="12">
        <f t="shared" si="2"/>
        <v>1491</v>
      </c>
      <c r="J6" s="9">
        <f t="shared" si="1"/>
        <v>2.5530821917808217</v>
      </c>
    </row>
    <row r="7" spans="1:10" ht="16.5" customHeight="1">
      <c r="A7" s="32"/>
      <c r="B7" s="3" t="s">
        <v>7</v>
      </c>
      <c r="C7" s="4">
        <f>727+38</f>
        <v>765</v>
      </c>
      <c r="D7" s="4">
        <v>449</v>
      </c>
      <c r="E7" s="9">
        <f t="shared" si="0"/>
        <v>1.7037861915367483</v>
      </c>
      <c r="F7" s="4">
        <f>165+15</f>
        <v>180</v>
      </c>
      <c r="G7" s="4">
        <v>331</v>
      </c>
      <c r="H7" s="9">
        <f>F7/G7</f>
        <v>0.5438066465256798</v>
      </c>
      <c r="I7" s="12">
        <f t="shared" si="2"/>
        <v>945</v>
      </c>
      <c r="J7" s="9">
        <f t="shared" si="1"/>
        <v>1.2115384615384615</v>
      </c>
    </row>
    <row r="8" spans="1:10" ht="16.5" customHeight="1">
      <c r="A8" s="32"/>
      <c r="B8" s="3" t="s">
        <v>5</v>
      </c>
      <c r="C8" s="4">
        <f>332+21</f>
        <v>353</v>
      </c>
      <c r="D8" s="4">
        <v>277</v>
      </c>
      <c r="E8" s="9">
        <f t="shared" si="0"/>
        <v>1.2743682310469313</v>
      </c>
      <c r="F8" s="4">
        <v>79</v>
      </c>
      <c r="G8" s="4">
        <v>128</v>
      </c>
      <c r="H8" s="9">
        <f>F8/G8</f>
        <v>0.6171875</v>
      </c>
      <c r="I8" s="12">
        <f t="shared" si="2"/>
        <v>432</v>
      </c>
      <c r="J8" s="9">
        <f t="shared" si="1"/>
        <v>1.0666666666666667</v>
      </c>
    </row>
    <row r="9" spans="1:10" ht="16.5" customHeight="1">
      <c r="A9" s="32"/>
      <c r="B9" s="3" t="s">
        <v>20</v>
      </c>
      <c r="C9" s="4">
        <f>477+11</f>
        <v>488</v>
      </c>
      <c r="D9" s="4">
        <v>272</v>
      </c>
      <c r="E9" s="9">
        <f t="shared" si="0"/>
        <v>1.7941176470588236</v>
      </c>
      <c r="F9" s="4">
        <v>43</v>
      </c>
      <c r="G9" s="4">
        <v>118</v>
      </c>
      <c r="H9" s="9">
        <f>F9/G9</f>
        <v>0.3644067796610169</v>
      </c>
      <c r="I9" s="12">
        <f t="shared" si="2"/>
        <v>531</v>
      </c>
      <c r="J9" s="9">
        <f t="shared" si="1"/>
        <v>1.3615384615384616</v>
      </c>
    </row>
    <row r="10" spans="1:10" ht="16.5" customHeight="1">
      <c r="A10" s="32"/>
      <c r="B10" s="3" t="s">
        <v>32</v>
      </c>
      <c r="C10" s="4">
        <v>23</v>
      </c>
      <c r="D10" s="4">
        <v>37</v>
      </c>
      <c r="E10" s="9">
        <f t="shared" si="0"/>
        <v>0.6216216216216216</v>
      </c>
      <c r="F10" s="4">
        <v>21</v>
      </c>
      <c r="G10" s="4">
        <v>37</v>
      </c>
      <c r="H10" s="9">
        <f>F10/G10</f>
        <v>0.5675675675675675</v>
      </c>
      <c r="I10" s="12">
        <f t="shared" si="2"/>
        <v>44</v>
      </c>
      <c r="J10" s="9">
        <f t="shared" si="1"/>
        <v>0.5945945945945946</v>
      </c>
    </row>
    <row r="11" spans="1:10" ht="16.5" customHeight="1">
      <c r="A11" s="32"/>
      <c r="B11" s="3" t="s">
        <v>4</v>
      </c>
      <c r="C11" s="4">
        <v>5</v>
      </c>
      <c r="D11" s="4">
        <v>7</v>
      </c>
      <c r="E11" s="9">
        <f t="shared" si="0"/>
        <v>0.7142857142857143</v>
      </c>
      <c r="F11" s="4">
        <v>0</v>
      </c>
      <c r="G11" s="4">
        <v>0</v>
      </c>
      <c r="H11" s="9">
        <v>0</v>
      </c>
      <c r="I11" s="12">
        <f t="shared" si="2"/>
        <v>5</v>
      </c>
      <c r="J11" s="9">
        <f t="shared" si="1"/>
        <v>0.7142857142857143</v>
      </c>
    </row>
    <row r="12" spans="1:10" ht="16.5" customHeight="1">
      <c r="A12" s="32"/>
      <c r="B12" s="1" t="s">
        <v>24</v>
      </c>
      <c r="C12" s="4">
        <v>55</v>
      </c>
      <c r="D12" s="4">
        <v>14</v>
      </c>
      <c r="E12" s="9">
        <f t="shared" si="0"/>
        <v>3.9285714285714284</v>
      </c>
      <c r="F12" s="4">
        <v>0</v>
      </c>
      <c r="G12" s="4">
        <v>0</v>
      </c>
      <c r="H12" s="9">
        <v>0</v>
      </c>
      <c r="I12" s="12">
        <f t="shared" si="2"/>
        <v>55</v>
      </c>
      <c r="J12" s="9">
        <f t="shared" si="1"/>
        <v>3.9285714285714284</v>
      </c>
    </row>
    <row r="13" spans="1:10" ht="16.5" customHeight="1">
      <c r="A13" s="32"/>
      <c r="B13" s="1" t="s">
        <v>6</v>
      </c>
      <c r="C13" s="4">
        <v>5</v>
      </c>
      <c r="D13" s="4">
        <v>6</v>
      </c>
      <c r="E13" s="9">
        <f t="shared" si="0"/>
        <v>0.8333333333333334</v>
      </c>
      <c r="F13" s="4">
        <v>0</v>
      </c>
      <c r="G13" s="4">
        <v>0</v>
      </c>
      <c r="H13" s="9">
        <v>0</v>
      </c>
      <c r="I13" s="12">
        <f t="shared" si="2"/>
        <v>5</v>
      </c>
      <c r="J13" s="9">
        <f t="shared" si="1"/>
        <v>0.8333333333333334</v>
      </c>
    </row>
    <row r="14" spans="1:10" ht="16.5" customHeight="1">
      <c r="A14" s="32"/>
      <c r="B14" s="1" t="s">
        <v>33</v>
      </c>
      <c r="C14" s="4">
        <v>5</v>
      </c>
      <c r="D14" s="4">
        <v>9</v>
      </c>
      <c r="E14" s="9">
        <f t="shared" si="0"/>
        <v>0.5555555555555556</v>
      </c>
      <c r="F14" s="4">
        <v>0</v>
      </c>
      <c r="G14" s="4">
        <v>0</v>
      </c>
      <c r="H14" s="9">
        <v>0</v>
      </c>
      <c r="I14" s="12">
        <f t="shared" si="2"/>
        <v>5</v>
      </c>
      <c r="J14" s="9">
        <f t="shared" si="1"/>
        <v>0.5555555555555556</v>
      </c>
    </row>
    <row r="15" spans="1:10" ht="16.5" customHeight="1">
      <c r="A15" s="32"/>
      <c r="B15" s="1" t="s">
        <v>25</v>
      </c>
      <c r="C15" s="4">
        <v>17</v>
      </c>
      <c r="D15" s="4">
        <v>13</v>
      </c>
      <c r="E15" s="9">
        <f t="shared" si="0"/>
        <v>1.3076923076923077</v>
      </c>
      <c r="F15" s="4">
        <v>0</v>
      </c>
      <c r="G15" s="4">
        <v>0</v>
      </c>
      <c r="H15" s="9">
        <v>0</v>
      </c>
      <c r="I15" s="12">
        <f t="shared" si="2"/>
        <v>17</v>
      </c>
      <c r="J15" s="9">
        <f t="shared" si="1"/>
        <v>1.3076923076923077</v>
      </c>
    </row>
    <row r="16" spans="1:10" ht="16.5" customHeight="1">
      <c r="A16" s="32"/>
      <c r="B16" s="1" t="s">
        <v>21</v>
      </c>
      <c r="C16" s="4">
        <v>24</v>
      </c>
      <c r="D16" s="4">
        <v>9</v>
      </c>
      <c r="E16" s="9">
        <f t="shared" si="0"/>
        <v>2.6666666666666665</v>
      </c>
      <c r="F16" s="4">
        <v>0</v>
      </c>
      <c r="G16" s="4">
        <v>0</v>
      </c>
      <c r="H16" s="9">
        <v>0</v>
      </c>
      <c r="I16" s="12">
        <f t="shared" si="2"/>
        <v>24</v>
      </c>
      <c r="J16" s="9">
        <f t="shared" si="1"/>
        <v>2.6666666666666665</v>
      </c>
    </row>
    <row r="17" spans="1:10" ht="16.5" customHeight="1">
      <c r="A17" s="32"/>
      <c r="B17" s="1" t="s">
        <v>28</v>
      </c>
      <c r="C17" s="4">
        <v>0</v>
      </c>
      <c r="D17" s="4">
        <v>10</v>
      </c>
      <c r="E17" s="9">
        <f t="shared" si="0"/>
        <v>0</v>
      </c>
      <c r="F17" s="4">
        <v>0</v>
      </c>
      <c r="G17" s="4">
        <v>0</v>
      </c>
      <c r="H17" s="9">
        <v>0</v>
      </c>
      <c r="I17" s="12">
        <f t="shared" si="2"/>
        <v>0</v>
      </c>
      <c r="J17" s="9">
        <f t="shared" si="1"/>
        <v>0</v>
      </c>
    </row>
    <row r="18" spans="1:10" ht="27" customHeight="1">
      <c r="A18" s="33"/>
      <c r="B18" s="5" t="s">
        <v>8</v>
      </c>
      <c r="C18" s="6">
        <f>SUM(C4:C17)</f>
        <v>5048</v>
      </c>
      <c r="D18" s="6">
        <f>SUM(D4:D17)</f>
        <v>2769</v>
      </c>
      <c r="E18" s="10">
        <f t="shared" si="0"/>
        <v>1.823040808956302</v>
      </c>
      <c r="F18" s="6">
        <f>SUM(F4:F17)</f>
        <v>323</v>
      </c>
      <c r="G18" s="6">
        <f>SUM(G4:G17)</f>
        <v>614</v>
      </c>
      <c r="H18" s="10">
        <f aca="true" t="shared" si="3" ref="H18:H34">F18/G18</f>
        <v>0.5260586319218241</v>
      </c>
      <c r="I18" s="6">
        <f t="shared" si="2"/>
        <v>5371</v>
      </c>
      <c r="J18" s="10">
        <f t="shared" si="1"/>
        <v>1.5876441028672776</v>
      </c>
    </row>
    <row r="19" spans="1:10" ht="16.5" customHeight="1">
      <c r="A19" s="34" t="s">
        <v>9</v>
      </c>
      <c r="B19" s="3" t="s">
        <v>10</v>
      </c>
      <c r="C19" s="4">
        <f>1801+103</f>
        <v>1904</v>
      </c>
      <c r="D19" s="4">
        <v>807</v>
      </c>
      <c r="E19" s="9">
        <f t="shared" si="0"/>
        <v>2.359355638166047</v>
      </c>
      <c r="F19" s="4">
        <f>1096+197</f>
        <v>1293</v>
      </c>
      <c r="G19" s="4">
        <v>1350</v>
      </c>
      <c r="H19" s="9">
        <f t="shared" si="3"/>
        <v>0.9577777777777777</v>
      </c>
      <c r="I19" s="12">
        <f t="shared" si="2"/>
        <v>3197</v>
      </c>
      <c r="J19" s="9">
        <f t="shared" si="1"/>
        <v>1.4821511358368105</v>
      </c>
    </row>
    <row r="20" spans="1:10" ht="16.5" customHeight="1">
      <c r="A20" s="32"/>
      <c r="B20" s="3" t="s">
        <v>12</v>
      </c>
      <c r="C20" s="4">
        <f>907+38</f>
        <v>945</v>
      </c>
      <c r="D20" s="4">
        <v>238</v>
      </c>
      <c r="E20" s="9">
        <f t="shared" si="0"/>
        <v>3.9705882352941178</v>
      </c>
      <c r="F20" s="4">
        <f>65</f>
        <v>65</v>
      </c>
      <c r="G20" s="4">
        <v>92</v>
      </c>
      <c r="H20" s="9">
        <f t="shared" si="3"/>
        <v>0.7065217391304348</v>
      </c>
      <c r="I20" s="12">
        <f t="shared" si="2"/>
        <v>1010</v>
      </c>
      <c r="J20" s="9">
        <f t="shared" si="1"/>
        <v>3.0606060606060606</v>
      </c>
    </row>
    <row r="21" spans="1:10" ht="16.5" customHeight="1">
      <c r="A21" s="32"/>
      <c r="B21" s="3" t="s">
        <v>30</v>
      </c>
      <c r="C21" s="4">
        <v>46</v>
      </c>
      <c r="D21" s="4">
        <v>33</v>
      </c>
      <c r="E21" s="9">
        <f t="shared" si="0"/>
        <v>1.393939393939394</v>
      </c>
      <c r="F21" s="4">
        <f>67+13</f>
        <v>80</v>
      </c>
      <c r="G21" s="4">
        <v>84</v>
      </c>
      <c r="H21" s="9">
        <f t="shared" si="3"/>
        <v>0.9523809523809523</v>
      </c>
      <c r="I21" s="12">
        <f t="shared" si="2"/>
        <v>126</v>
      </c>
      <c r="J21" s="9">
        <f t="shared" si="1"/>
        <v>1.0769230769230769</v>
      </c>
    </row>
    <row r="22" spans="1:10" ht="16.5" customHeight="1">
      <c r="A22" s="32"/>
      <c r="B22" s="3" t="s">
        <v>34</v>
      </c>
      <c r="C22" s="4">
        <v>0</v>
      </c>
      <c r="D22" s="4">
        <v>0</v>
      </c>
      <c r="E22" s="9">
        <v>0</v>
      </c>
      <c r="F22" s="4">
        <v>17</v>
      </c>
      <c r="G22" s="4">
        <v>30</v>
      </c>
      <c r="H22" s="9">
        <f>F22/G22</f>
        <v>0.5666666666666667</v>
      </c>
      <c r="I22" s="12">
        <f>C22+F22</f>
        <v>17</v>
      </c>
      <c r="J22" s="9">
        <f t="shared" si="1"/>
        <v>0.5666666666666667</v>
      </c>
    </row>
    <row r="23" spans="1:10" ht="29.25" customHeight="1">
      <c r="A23" s="33"/>
      <c r="B23" s="5" t="s">
        <v>8</v>
      </c>
      <c r="C23" s="6">
        <f>SUM(C19:C22)</f>
        <v>2895</v>
      </c>
      <c r="D23" s="6">
        <f>SUM(D19:D22)</f>
        <v>1078</v>
      </c>
      <c r="E23" s="10">
        <f aca="true" t="shared" si="4" ref="E23:E34">C23/D23</f>
        <v>2.6855287569573285</v>
      </c>
      <c r="F23" s="6">
        <f>SUM(F19:F22)</f>
        <v>1455</v>
      </c>
      <c r="G23" s="6">
        <f>SUM(G19:G22)</f>
        <v>1556</v>
      </c>
      <c r="H23" s="10">
        <f t="shared" si="3"/>
        <v>0.9350899742930592</v>
      </c>
      <c r="I23" s="6">
        <f t="shared" si="2"/>
        <v>4350</v>
      </c>
      <c r="J23" s="10">
        <f t="shared" si="1"/>
        <v>1.6514806378132119</v>
      </c>
    </row>
    <row r="24" spans="1:10" ht="16.5" customHeight="1">
      <c r="A24" s="35" t="s">
        <v>13</v>
      </c>
      <c r="B24" s="3" t="s">
        <v>15</v>
      </c>
      <c r="C24" s="4">
        <f>1002+62</f>
        <v>1064</v>
      </c>
      <c r="D24" s="4">
        <v>449</v>
      </c>
      <c r="E24" s="9">
        <f t="shared" si="4"/>
        <v>2.3697104677060135</v>
      </c>
      <c r="F24" s="4">
        <f>95+12</f>
        <v>107</v>
      </c>
      <c r="G24" s="4">
        <v>127</v>
      </c>
      <c r="H24" s="9">
        <f t="shared" si="3"/>
        <v>0.84251968503937</v>
      </c>
      <c r="I24" s="12">
        <f t="shared" si="2"/>
        <v>1171</v>
      </c>
      <c r="J24" s="9">
        <f t="shared" si="1"/>
        <v>2.032986111111111</v>
      </c>
    </row>
    <row r="25" spans="1:10" ht="16.5" customHeight="1">
      <c r="A25" s="32"/>
      <c r="B25" s="3" t="s">
        <v>16</v>
      </c>
      <c r="C25" s="4">
        <f>571+12</f>
        <v>583</v>
      </c>
      <c r="D25" s="4">
        <v>424</v>
      </c>
      <c r="E25" s="9">
        <f t="shared" si="4"/>
        <v>1.375</v>
      </c>
      <c r="F25" s="4">
        <f>86+14</f>
        <v>100</v>
      </c>
      <c r="G25" s="4">
        <v>127</v>
      </c>
      <c r="H25" s="9">
        <f t="shared" si="3"/>
        <v>0.7874015748031497</v>
      </c>
      <c r="I25" s="12">
        <f t="shared" si="2"/>
        <v>683</v>
      </c>
      <c r="J25" s="9">
        <f t="shared" si="1"/>
        <v>1.2395644283121596</v>
      </c>
    </row>
    <row r="26" spans="1:10" ht="16.5" customHeight="1">
      <c r="A26" s="32"/>
      <c r="B26" s="3" t="s">
        <v>18</v>
      </c>
      <c r="C26" s="4">
        <f>1030+50</f>
        <v>1080</v>
      </c>
      <c r="D26" s="4">
        <v>462</v>
      </c>
      <c r="E26" s="9">
        <f t="shared" si="4"/>
        <v>2.3376623376623376</v>
      </c>
      <c r="F26" s="4">
        <f>58+12</f>
        <v>70</v>
      </c>
      <c r="G26" s="4">
        <v>136</v>
      </c>
      <c r="H26" s="9">
        <f t="shared" si="3"/>
        <v>0.5147058823529411</v>
      </c>
      <c r="I26" s="12">
        <f t="shared" si="2"/>
        <v>1150</v>
      </c>
      <c r="J26" s="9">
        <f t="shared" si="1"/>
        <v>1.9230769230769231</v>
      </c>
    </row>
    <row r="27" spans="1:10" ht="16.5" customHeight="1">
      <c r="A27" s="32"/>
      <c r="B27" s="3" t="s">
        <v>17</v>
      </c>
      <c r="C27" s="4">
        <f>342+21</f>
        <v>363</v>
      </c>
      <c r="D27" s="4">
        <v>226</v>
      </c>
      <c r="E27" s="9">
        <f t="shared" si="4"/>
        <v>1.6061946902654867</v>
      </c>
      <c r="F27" s="4">
        <f>117+22</f>
        <v>139</v>
      </c>
      <c r="G27" s="4">
        <v>92</v>
      </c>
      <c r="H27" s="9">
        <f t="shared" si="3"/>
        <v>1.5108695652173914</v>
      </c>
      <c r="I27" s="12">
        <f t="shared" si="2"/>
        <v>502</v>
      </c>
      <c r="J27" s="9">
        <f t="shared" si="1"/>
        <v>1.578616352201258</v>
      </c>
    </row>
    <row r="28" spans="1:10" ht="16.5" customHeight="1">
      <c r="A28" s="32"/>
      <c r="B28" s="1" t="s">
        <v>31</v>
      </c>
      <c r="C28" s="4">
        <v>46</v>
      </c>
      <c r="D28" s="4">
        <v>25</v>
      </c>
      <c r="E28" s="9">
        <f t="shared" si="4"/>
        <v>1.84</v>
      </c>
      <c r="F28" s="4">
        <v>10</v>
      </c>
      <c r="G28" s="4">
        <v>61</v>
      </c>
      <c r="H28" s="9">
        <f t="shared" si="3"/>
        <v>0.16393442622950818</v>
      </c>
      <c r="I28" s="12">
        <f t="shared" si="2"/>
        <v>56</v>
      </c>
      <c r="J28" s="9">
        <f t="shared" si="1"/>
        <v>0.6511627906976745</v>
      </c>
    </row>
    <row r="29" spans="1:10" ht="24.75" customHeight="1">
      <c r="A29" s="33"/>
      <c r="B29" s="5" t="s">
        <v>8</v>
      </c>
      <c r="C29" s="6">
        <f>SUM(C24:C28)</f>
        <v>3136</v>
      </c>
      <c r="D29" s="6">
        <f>SUM(D24:D28)</f>
        <v>1586</v>
      </c>
      <c r="E29" s="10">
        <f t="shared" si="4"/>
        <v>1.9773013871374527</v>
      </c>
      <c r="F29" s="6">
        <f>SUM(F24:F28)</f>
        <v>426</v>
      </c>
      <c r="G29" s="6">
        <f>SUM(G24:G28)</f>
        <v>543</v>
      </c>
      <c r="H29" s="10">
        <f t="shared" si="3"/>
        <v>0.7845303867403315</v>
      </c>
      <c r="I29" s="6">
        <f t="shared" si="2"/>
        <v>3562</v>
      </c>
      <c r="J29" s="10">
        <f>(C29+F29)/(D29+G29)</f>
        <v>1.673085955847816</v>
      </c>
    </row>
    <row r="30" spans="1:10" ht="20.25" customHeight="1">
      <c r="A30" s="23" t="s">
        <v>29</v>
      </c>
      <c r="B30" s="3" t="s">
        <v>22</v>
      </c>
      <c r="C30" s="4">
        <f>1286+41</f>
        <v>1327</v>
      </c>
      <c r="D30" s="4">
        <v>440</v>
      </c>
      <c r="E30" s="9">
        <f>C30/D30</f>
        <v>3.015909090909091</v>
      </c>
      <c r="F30" s="4">
        <f>374+59</f>
        <v>433</v>
      </c>
      <c r="G30" s="4">
        <v>232</v>
      </c>
      <c r="H30" s="9">
        <f>F30/G30</f>
        <v>1.8663793103448276</v>
      </c>
      <c r="I30" s="12">
        <f t="shared" si="2"/>
        <v>1760</v>
      </c>
      <c r="J30" s="9">
        <f>(C30+F30)/(D30+G30)</f>
        <v>2.619047619047619</v>
      </c>
    </row>
    <row r="31" spans="1:10" ht="20.25" customHeight="1">
      <c r="A31" s="24"/>
      <c r="B31" s="3" t="s">
        <v>14</v>
      </c>
      <c r="C31" s="4">
        <f>1332+55</f>
        <v>1387</v>
      </c>
      <c r="D31" s="4">
        <v>414</v>
      </c>
      <c r="E31" s="9">
        <f>C31/D31</f>
        <v>3.3502415458937196</v>
      </c>
      <c r="F31" s="4">
        <v>21</v>
      </c>
      <c r="G31" s="4">
        <v>123</v>
      </c>
      <c r="H31" s="9">
        <f>F31/G31</f>
        <v>0.17073170731707318</v>
      </c>
      <c r="I31" s="12">
        <f t="shared" si="2"/>
        <v>1408</v>
      </c>
      <c r="J31" s="9">
        <f>(C31+F31)/(D31+G31)</f>
        <v>2.621973929236499</v>
      </c>
    </row>
    <row r="32" spans="1:10" ht="21" customHeight="1">
      <c r="A32" s="25"/>
      <c r="B32" s="1" t="s">
        <v>11</v>
      </c>
      <c r="C32" s="4">
        <v>15</v>
      </c>
      <c r="D32" s="4">
        <v>23</v>
      </c>
      <c r="E32" s="9">
        <f>C32/D32</f>
        <v>0.6521739130434783</v>
      </c>
      <c r="F32" s="4">
        <f>65+19</f>
        <v>84</v>
      </c>
      <c r="G32" s="4">
        <v>58</v>
      </c>
      <c r="H32" s="9">
        <f>F32/G32</f>
        <v>1.4482758620689655</v>
      </c>
      <c r="I32" s="12">
        <f t="shared" si="2"/>
        <v>99</v>
      </c>
      <c r="J32" s="9">
        <f>(C32+F32)/(D32+G32)</f>
        <v>1.2222222222222223</v>
      </c>
    </row>
    <row r="33" spans="1:10" ht="24.75" customHeight="1">
      <c r="A33" s="26"/>
      <c r="B33" s="5" t="s">
        <v>8</v>
      </c>
      <c r="C33" s="6">
        <f>SUM(C30:C32)</f>
        <v>2729</v>
      </c>
      <c r="D33" s="6">
        <f>SUM(D30:D32)</f>
        <v>877</v>
      </c>
      <c r="E33" s="10">
        <f t="shared" si="4"/>
        <v>3.111744583808438</v>
      </c>
      <c r="F33" s="6">
        <f>SUM(F30:F32)</f>
        <v>538</v>
      </c>
      <c r="G33" s="6">
        <f>SUM(G30:G32)</f>
        <v>413</v>
      </c>
      <c r="H33" s="10">
        <f t="shared" si="3"/>
        <v>1.3026634382566586</v>
      </c>
      <c r="I33" s="6">
        <f t="shared" si="2"/>
        <v>3267</v>
      </c>
      <c r="J33" s="10">
        <f>(C33+F33)/(D33+G33)</f>
        <v>2.5325581395348835</v>
      </c>
    </row>
    <row r="34" spans="1:10" ht="29.25" customHeight="1">
      <c r="A34" s="36" t="s">
        <v>19</v>
      </c>
      <c r="B34" s="37"/>
      <c r="C34" s="7">
        <f>C18+C23+C29+C33</f>
        <v>13808</v>
      </c>
      <c r="D34" s="7">
        <f>D18+D23+D29+D33</f>
        <v>6310</v>
      </c>
      <c r="E34" s="11">
        <f t="shared" si="4"/>
        <v>2.1882725832012677</v>
      </c>
      <c r="F34" s="7">
        <f>F18+F23+F29+F33</f>
        <v>2742</v>
      </c>
      <c r="G34" s="7">
        <f>G18+G23+G29+G33</f>
        <v>3126</v>
      </c>
      <c r="H34" s="11">
        <f t="shared" si="3"/>
        <v>0.8771593090211133</v>
      </c>
      <c r="I34" s="15">
        <f t="shared" si="2"/>
        <v>16550</v>
      </c>
      <c r="J34" s="11">
        <f t="shared" si="1"/>
        <v>1.7539211530309453</v>
      </c>
    </row>
    <row r="35" ht="19.5" customHeight="1"/>
    <row r="36" spans="1:10" ht="16.5">
      <c r="A36" s="29"/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3">
    <mergeCell ref="A30:A33"/>
    <mergeCell ref="J2:J3"/>
    <mergeCell ref="A36:J36"/>
    <mergeCell ref="A4:A18"/>
    <mergeCell ref="A19:A23"/>
    <mergeCell ref="A24:A29"/>
    <mergeCell ref="A34:B34"/>
    <mergeCell ref="A1:J1"/>
    <mergeCell ref="A2:A3"/>
    <mergeCell ref="B2:B3"/>
    <mergeCell ref="C2:E2"/>
    <mergeCell ref="F2:H2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7.25390625" style="0" customWidth="1"/>
    <col min="2" max="2" width="10.125" style="8" customWidth="1"/>
    <col min="3" max="3" width="9.25390625" style="0" customWidth="1"/>
    <col min="4" max="4" width="6.00390625" style="0" customWidth="1"/>
    <col min="5" max="5" width="8.875" style="0" customWidth="1"/>
    <col min="6" max="6" width="8.75390625" style="0" customWidth="1"/>
    <col min="7" max="7" width="6.75390625" style="0" customWidth="1"/>
    <col min="8" max="8" width="8.875" style="0" customWidth="1"/>
    <col min="9" max="9" width="10.00390625" style="14" customWidth="1"/>
    <col min="10" max="10" width="8.25390625" style="0" customWidth="1"/>
  </cols>
  <sheetData>
    <row r="1" spans="1:10" ht="25.5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1" customHeight="1">
      <c r="A2" s="18" t="s">
        <v>0</v>
      </c>
      <c r="B2" s="20" t="s">
        <v>1</v>
      </c>
      <c r="C2" s="22" t="s">
        <v>38</v>
      </c>
      <c r="D2" s="22"/>
      <c r="E2" s="22"/>
      <c r="F2" s="22" t="s">
        <v>39</v>
      </c>
      <c r="G2" s="22"/>
      <c r="H2" s="22"/>
      <c r="I2" s="38" t="s">
        <v>40</v>
      </c>
      <c r="J2" s="27" t="s">
        <v>2</v>
      </c>
    </row>
    <row r="3" spans="1:10" ht="43.5" customHeight="1">
      <c r="A3" s="19"/>
      <c r="B3" s="21"/>
      <c r="C3" s="1" t="s">
        <v>41</v>
      </c>
      <c r="D3" s="2" t="s">
        <v>42</v>
      </c>
      <c r="E3" s="2" t="s">
        <v>43</v>
      </c>
      <c r="F3" s="1" t="s">
        <v>41</v>
      </c>
      <c r="G3" s="2" t="s">
        <v>42</v>
      </c>
      <c r="H3" s="2" t="s">
        <v>43</v>
      </c>
      <c r="I3" s="39"/>
      <c r="J3" s="28"/>
    </row>
    <row r="4" spans="1:10" ht="16.5" customHeight="1">
      <c r="A4" s="31" t="s">
        <v>26</v>
      </c>
      <c r="B4" s="3" t="s">
        <v>3</v>
      </c>
      <c r="C4" s="4">
        <f>1037+47</f>
        <v>1084</v>
      </c>
      <c r="D4" s="4">
        <v>518</v>
      </c>
      <c r="E4" s="9">
        <f aca="true" t="shared" si="0" ref="E4:E34">C4/D4</f>
        <v>2.0926640926640925</v>
      </c>
      <c r="F4" s="4">
        <v>0</v>
      </c>
      <c r="G4" s="4">
        <v>0</v>
      </c>
      <c r="H4" s="9">
        <v>0</v>
      </c>
      <c r="I4" s="12">
        <f>C4+F4</f>
        <v>1084</v>
      </c>
      <c r="J4" s="9">
        <f aca="true" t="shared" si="1" ref="J4:J34">(C4+F4)/(D4+G4)</f>
        <v>2.0926640926640925</v>
      </c>
    </row>
    <row r="5" spans="1:10" ht="16.5">
      <c r="A5" s="32"/>
      <c r="B5" s="3" t="s">
        <v>23</v>
      </c>
      <c r="C5" s="4">
        <f>957+41</f>
        <v>998</v>
      </c>
      <c r="D5" s="4">
        <v>523</v>
      </c>
      <c r="E5" s="9">
        <f t="shared" si="0"/>
        <v>1.9082217973231357</v>
      </c>
      <c r="F5" s="4">
        <v>0</v>
      </c>
      <c r="G5" s="4">
        <v>0</v>
      </c>
      <c r="H5" s="9">
        <v>0</v>
      </c>
      <c r="I5" s="12">
        <f aca="true" t="shared" si="2" ref="I5:I34">C5+F5</f>
        <v>998</v>
      </c>
      <c r="J5" s="9">
        <f t="shared" si="1"/>
        <v>1.9082217973231357</v>
      </c>
    </row>
    <row r="6" spans="1:10" ht="16.5">
      <c r="A6" s="32"/>
      <c r="B6" s="3" t="s">
        <v>27</v>
      </c>
      <c r="C6" s="4">
        <f>1268+78</f>
        <v>1346</v>
      </c>
      <c r="D6" s="4">
        <v>580</v>
      </c>
      <c r="E6" s="9">
        <f t="shared" si="0"/>
        <v>2.320689655172414</v>
      </c>
      <c r="F6" s="4">
        <v>0</v>
      </c>
      <c r="G6" s="4">
        <v>0</v>
      </c>
      <c r="H6" s="9">
        <v>0</v>
      </c>
      <c r="I6" s="12">
        <f t="shared" si="2"/>
        <v>1346</v>
      </c>
      <c r="J6" s="9">
        <f t="shared" si="1"/>
        <v>2.320689655172414</v>
      </c>
    </row>
    <row r="7" spans="1:10" ht="16.5">
      <c r="A7" s="32"/>
      <c r="B7" s="3" t="s">
        <v>7</v>
      </c>
      <c r="C7" s="4">
        <f>699+24</f>
        <v>723</v>
      </c>
      <c r="D7" s="4">
        <v>429</v>
      </c>
      <c r="E7" s="9">
        <f t="shared" si="0"/>
        <v>1.6853146853146854</v>
      </c>
      <c r="F7" s="4">
        <f>93+17</f>
        <v>110</v>
      </c>
      <c r="G7" s="4">
        <v>281</v>
      </c>
      <c r="H7" s="9">
        <f>F7/G7</f>
        <v>0.3914590747330961</v>
      </c>
      <c r="I7" s="12">
        <f t="shared" si="2"/>
        <v>833</v>
      </c>
      <c r="J7" s="9">
        <f t="shared" si="1"/>
        <v>1.1732394366197183</v>
      </c>
    </row>
    <row r="8" spans="1:10" ht="16.5">
      <c r="A8" s="32"/>
      <c r="B8" s="3" t="s">
        <v>5</v>
      </c>
      <c r="C8" s="4">
        <f>391+12</f>
        <v>403</v>
      </c>
      <c r="D8" s="4">
        <v>266</v>
      </c>
      <c r="E8" s="9">
        <f t="shared" si="0"/>
        <v>1.5150375939849625</v>
      </c>
      <c r="F8" s="4">
        <f>24</f>
        <v>24</v>
      </c>
      <c r="G8" s="4">
        <v>103</v>
      </c>
      <c r="H8" s="9">
        <f>F8/G8</f>
        <v>0.23300970873786409</v>
      </c>
      <c r="I8" s="12">
        <f t="shared" si="2"/>
        <v>427</v>
      </c>
      <c r="J8" s="9">
        <f t="shared" si="1"/>
        <v>1.1571815718157181</v>
      </c>
    </row>
    <row r="9" spans="1:10" ht="16.5">
      <c r="A9" s="32"/>
      <c r="B9" s="3" t="s">
        <v>20</v>
      </c>
      <c r="C9" s="4">
        <f>378+15</f>
        <v>393</v>
      </c>
      <c r="D9" s="4">
        <v>278</v>
      </c>
      <c r="E9" s="9">
        <f t="shared" si="0"/>
        <v>1.4136690647482015</v>
      </c>
      <c r="F9" s="4">
        <f>41+12</f>
        <v>53</v>
      </c>
      <c r="G9" s="4">
        <v>92</v>
      </c>
      <c r="H9" s="9">
        <f>F9/G9</f>
        <v>0.5760869565217391</v>
      </c>
      <c r="I9" s="12">
        <f t="shared" si="2"/>
        <v>446</v>
      </c>
      <c r="J9" s="9">
        <f t="shared" si="1"/>
        <v>1.2054054054054053</v>
      </c>
    </row>
    <row r="10" spans="1:10" ht="16.5">
      <c r="A10" s="32"/>
      <c r="B10" s="3" t="s">
        <v>32</v>
      </c>
      <c r="C10" s="4">
        <f>25</f>
        <v>25</v>
      </c>
      <c r="D10" s="4">
        <v>31</v>
      </c>
      <c r="E10" s="9">
        <f t="shared" si="0"/>
        <v>0.8064516129032258</v>
      </c>
      <c r="F10" s="4">
        <v>18</v>
      </c>
      <c r="G10" s="4">
        <v>31</v>
      </c>
      <c r="H10" s="9">
        <f>F10/G10</f>
        <v>0.5806451612903226</v>
      </c>
      <c r="I10" s="12">
        <f t="shared" si="2"/>
        <v>43</v>
      </c>
      <c r="J10" s="9">
        <f t="shared" si="1"/>
        <v>0.6935483870967742</v>
      </c>
    </row>
    <row r="11" spans="1:10" ht="16.5">
      <c r="A11" s="32"/>
      <c r="B11" s="3" t="s">
        <v>4</v>
      </c>
      <c r="C11" s="4">
        <v>4</v>
      </c>
      <c r="D11" s="4">
        <v>6</v>
      </c>
      <c r="E11" s="9">
        <f t="shared" si="0"/>
        <v>0.6666666666666666</v>
      </c>
      <c r="F11" s="4">
        <v>0</v>
      </c>
      <c r="G11" s="4">
        <v>0</v>
      </c>
      <c r="H11" s="9">
        <v>0</v>
      </c>
      <c r="I11" s="12">
        <f t="shared" si="2"/>
        <v>4</v>
      </c>
      <c r="J11" s="9">
        <f t="shared" si="1"/>
        <v>0.6666666666666666</v>
      </c>
    </row>
    <row r="12" spans="1:10" ht="16.5">
      <c r="A12" s="32"/>
      <c r="B12" s="1" t="s">
        <v>24</v>
      </c>
      <c r="C12" s="4">
        <v>3</v>
      </c>
      <c r="D12" s="4">
        <v>10</v>
      </c>
      <c r="E12" s="9">
        <f t="shared" si="0"/>
        <v>0.3</v>
      </c>
      <c r="F12" s="4">
        <v>0</v>
      </c>
      <c r="G12" s="4">
        <v>0</v>
      </c>
      <c r="H12" s="9">
        <v>0</v>
      </c>
      <c r="I12" s="12">
        <f t="shared" si="2"/>
        <v>3</v>
      </c>
      <c r="J12" s="9">
        <f t="shared" si="1"/>
        <v>0.3</v>
      </c>
    </row>
    <row r="13" spans="1:10" ht="16.5">
      <c r="A13" s="32"/>
      <c r="B13" s="1" t="s">
        <v>6</v>
      </c>
      <c r="C13" s="4">
        <v>8</v>
      </c>
      <c r="D13" s="4">
        <v>6</v>
      </c>
      <c r="E13" s="9">
        <f t="shared" si="0"/>
        <v>1.3333333333333333</v>
      </c>
      <c r="F13" s="4">
        <v>0</v>
      </c>
      <c r="G13" s="4">
        <v>0</v>
      </c>
      <c r="H13" s="9">
        <v>0</v>
      </c>
      <c r="I13" s="12">
        <f t="shared" si="2"/>
        <v>8</v>
      </c>
      <c r="J13" s="9">
        <f t="shared" si="1"/>
        <v>1.3333333333333333</v>
      </c>
    </row>
    <row r="14" spans="1:10" ht="16.5">
      <c r="A14" s="32"/>
      <c r="B14" s="1" t="s">
        <v>35</v>
      </c>
      <c r="C14" s="4">
        <v>4</v>
      </c>
      <c r="D14" s="4">
        <v>6</v>
      </c>
      <c r="E14" s="9">
        <f t="shared" si="0"/>
        <v>0.6666666666666666</v>
      </c>
      <c r="F14" s="4">
        <v>0</v>
      </c>
      <c r="G14" s="4">
        <v>0</v>
      </c>
      <c r="H14" s="9">
        <v>0</v>
      </c>
      <c r="I14" s="12">
        <f t="shared" si="2"/>
        <v>4</v>
      </c>
      <c r="J14" s="9">
        <f t="shared" si="1"/>
        <v>0.6666666666666666</v>
      </c>
    </row>
    <row r="15" spans="1:10" ht="16.5">
      <c r="A15" s="32"/>
      <c r="B15" s="1" t="s">
        <v>25</v>
      </c>
      <c r="C15" s="4">
        <v>4</v>
      </c>
      <c r="D15" s="4">
        <v>11</v>
      </c>
      <c r="E15" s="9">
        <f t="shared" si="0"/>
        <v>0.36363636363636365</v>
      </c>
      <c r="F15" s="4">
        <v>0</v>
      </c>
      <c r="G15" s="4">
        <v>0</v>
      </c>
      <c r="H15" s="9">
        <v>0</v>
      </c>
      <c r="I15" s="12">
        <f t="shared" si="2"/>
        <v>4</v>
      </c>
      <c r="J15" s="9">
        <f t="shared" si="1"/>
        <v>0.36363636363636365</v>
      </c>
    </row>
    <row r="16" spans="1:10" ht="16.5">
      <c r="A16" s="32"/>
      <c r="B16" s="1" t="s">
        <v>21</v>
      </c>
      <c r="C16" s="4">
        <v>8</v>
      </c>
      <c r="D16" s="4">
        <v>7</v>
      </c>
      <c r="E16" s="9">
        <f t="shared" si="0"/>
        <v>1.1428571428571428</v>
      </c>
      <c r="F16" s="4">
        <v>0</v>
      </c>
      <c r="G16" s="4">
        <v>0</v>
      </c>
      <c r="H16" s="9">
        <v>0</v>
      </c>
      <c r="I16" s="12">
        <f t="shared" si="2"/>
        <v>8</v>
      </c>
      <c r="J16" s="9">
        <f t="shared" si="1"/>
        <v>1.1428571428571428</v>
      </c>
    </row>
    <row r="17" spans="1:10" ht="16.5">
      <c r="A17" s="32"/>
      <c r="B17" s="1" t="s">
        <v>28</v>
      </c>
      <c r="C17" s="4">
        <v>2</v>
      </c>
      <c r="D17" s="4">
        <v>10</v>
      </c>
      <c r="E17" s="9">
        <f t="shared" si="0"/>
        <v>0.2</v>
      </c>
      <c r="F17" s="4">
        <v>0</v>
      </c>
      <c r="G17" s="4">
        <v>0</v>
      </c>
      <c r="H17" s="9">
        <v>0</v>
      </c>
      <c r="I17" s="12">
        <f t="shared" si="2"/>
        <v>2</v>
      </c>
      <c r="J17" s="9">
        <f t="shared" si="1"/>
        <v>0.2</v>
      </c>
    </row>
    <row r="18" spans="1:10" ht="24" customHeight="1">
      <c r="A18" s="33"/>
      <c r="B18" s="5" t="s">
        <v>8</v>
      </c>
      <c r="C18" s="6">
        <f>SUM(C4:C17)</f>
        <v>5005</v>
      </c>
      <c r="D18" s="6">
        <f>SUM(D4:D17)</f>
        <v>2681</v>
      </c>
      <c r="E18" s="10">
        <f t="shared" si="0"/>
        <v>1.866840731070496</v>
      </c>
      <c r="F18" s="6">
        <f>SUM(F4:F17)</f>
        <v>205</v>
      </c>
      <c r="G18" s="6">
        <f>SUM(G4:G17)</f>
        <v>507</v>
      </c>
      <c r="H18" s="10">
        <f aca="true" t="shared" si="3" ref="H18:H34">F18/G18</f>
        <v>0.40433925049309666</v>
      </c>
      <c r="I18" s="6">
        <f t="shared" si="2"/>
        <v>5210</v>
      </c>
      <c r="J18" s="10">
        <f t="shared" si="1"/>
        <v>1.6342534504391468</v>
      </c>
    </row>
    <row r="19" spans="1:10" ht="18.75" customHeight="1">
      <c r="A19" s="34" t="s">
        <v>9</v>
      </c>
      <c r="B19" s="3" t="s">
        <v>10</v>
      </c>
      <c r="C19" s="4">
        <f>2122+80</f>
        <v>2202</v>
      </c>
      <c r="D19" s="4">
        <v>808</v>
      </c>
      <c r="E19" s="9">
        <f t="shared" si="0"/>
        <v>2.7252475247524752</v>
      </c>
      <c r="F19" s="4">
        <f>936+157</f>
        <v>1093</v>
      </c>
      <c r="G19" s="4">
        <v>1086</v>
      </c>
      <c r="H19" s="9">
        <f t="shared" si="3"/>
        <v>1.0064456721915285</v>
      </c>
      <c r="I19" s="12">
        <f t="shared" si="2"/>
        <v>3295</v>
      </c>
      <c r="J19" s="9">
        <f t="shared" si="1"/>
        <v>1.7397043294614571</v>
      </c>
    </row>
    <row r="20" spans="1:10" ht="16.5">
      <c r="A20" s="32"/>
      <c r="B20" s="3" t="s">
        <v>12</v>
      </c>
      <c r="C20" s="4">
        <f>861+44</f>
        <v>905</v>
      </c>
      <c r="D20" s="4">
        <v>234</v>
      </c>
      <c r="E20" s="9">
        <f t="shared" si="0"/>
        <v>3.8675213675213675</v>
      </c>
      <c r="F20" s="4">
        <f>51</f>
        <v>51</v>
      </c>
      <c r="G20" s="4">
        <v>91</v>
      </c>
      <c r="H20" s="9">
        <f t="shared" si="3"/>
        <v>0.5604395604395604</v>
      </c>
      <c r="I20" s="12">
        <f t="shared" si="2"/>
        <v>956</v>
      </c>
      <c r="J20" s="9">
        <f t="shared" si="1"/>
        <v>2.9415384615384617</v>
      </c>
    </row>
    <row r="21" spans="1:10" ht="20.25" customHeight="1">
      <c r="A21" s="32"/>
      <c r="B21" s="3" t="s">
        <v>30</v>
      </c>
      <c r="C21" s="4">
        <f>15</f>
        <v>15</v>
      </c>
      <c r="D21" s="4">
        <v>27</v>
      </c>
      <c r="E21" s="9">
        <f t="shared" si="0"/>
        <v>0.5555555555555556</v>
      </c>
      <c r="F21" s="4">
        <v>36</v>
      </c>
      <c r="G21" s="4">
        <v>69</v>
      </c>
      <c r="H21" s="9">
        <f t="shared" si="3"/>
        <v>0.5217391304347826</v>
      </c>
      <c r="I21" s="12">
        <f t="shared" si="2"/>
        <v>51</v>
      </c>
      <c r="J21" s="9">
        <f t="shared" si="1"/>
        <v>0.53125</v>
      </c>
    </row>
    <row r="22" spans="1:10" ht="20.25" customHeight="1">
      <c r="A22" s="32"/>
      <c r="B22" s="3" t="s">
        <v>34</v>
      </c>
      <c r="C22" s="4">
        <v>0</v>
      </c>
      <c r="D22" s="4">
        <v>0</v>
      </c>
      <c r="E22" s="9">
        <v>0</v>
      </c>
      <c r="F22" s="4">
        <v>26</v>
      </c>
      <c r="G22" s="4">
        <v>27</v>
      </c>
      <c r="H22" s="9">
        <f t="shared" si="3"/>
        <v>0.9629629629629629</v>
      </c>
      <c r="I22" s="12">
        <f t="shared" si="2"/>
        <v>26</v>
      </c>
      <c r="J22" s="9">
        <f t="shared" si="1"/>
        <v>0.9629629629629629</v>
      </c>
    </row>
    <row r="23" spans="1:10" ht="24.75" customHeight="1">
      <c r="A23" s="33"/>
      <c r="B23" s="5" t="s">
        <v>8</v>
      </c>
      <c r="C23" s="6">
        <f>SUM(C19:C22)</f>
        <v>3122</v>
      </c>
      <c r="D23" s="6">
        <f>SUM(D19:D22)</f>
        <v>1069</v>
      </c>
      <c r="E23" s="10">
        <f>C23/D23</f>
        <v>2.920486435921422</v>
      </c>
      <c r="F23" s="6">
        <f>SUM(F19:F22)</f>
        <v>1206</v>
      </c>
      <c r="G23" s="6">
        <f>SUM(G19:G22)</f>
        <v>1273</v>
      </c>
      <c r="H23" s="10">
        <f t="shared" si="3"/>
        <v>0.9473684210526315</v>
      </c>
      <c r="I23" s="6">
        <f t="shared" si="2"/>
        <v>4328</v>
      </c>
      <c r="J23" s="10">
        <f t="shared" si="1"/>
        <v>1.84799316823228</v>
      </c>
    </row>
    <row r="24" spans="1:10" ht="16.5" customHeight="1">
      <c r="A24" s="35" t="s">
        <v>13</v>
      </c>
      <c r="B24" s="3" t="s">
        <v>15</v>
      </c>
      <c r="C24" s="4">
        <f>978+40</f>
        <v>1018</v>
      </c>
      <c r="D24" s="4">
        <v>441</v>
      </c>
      <c r="E24" s="9">
        <f t="shared" si="0"/>
        <v>2.308390022675737</v>
      </c>
      <c r="F24" s="4">
        <v>100</v>
      </c>
      <c r="G24" s="4">
        <v>115</v>
      </c>
      <c r="H24" s="9">
        <f t="shared" si="3"/>
        <v>0.8695652173913043</v>
      </c>
      <c r="I24" s="12">
        <f t="shared" si="2"/>
        <v>1118</v>
      </c>
      <c r="J24" s="9">
        <f t="shared" si="1"/>
        <v>2.0107913669064748</v>
      </c>
    </row>
    <row r="25" spans="1:10" ht="16.5">
      <c r="A25" s="32"/>
      <c r="B25" s="3" t="s">
        <v>16</v>
      </c>
      <c r="C25" s="4">
        <f>431+12</f>
        <v>443</v>
      </c>
      <c r="D25" s="4">
        <v>399</v>
      </c>
      <c r="E25" s="9">
        <f t="shared" si="0"/>
        <v>1.1102756892230576</v>
      </c>
      <c r="F25" s="4">
        <v>75</v>
      </c>
      <c r="G25" s="4">
        <v>116</v>
      </c>
      <c r="H25" s="9">
        <f t="shared" si="3"/>
        <v>0.646551724137931</v>
      </c>
      <c r="I25" s="12">
        <f t="shared" si="2"/>
        <v>518</v>
      </c>
      <c r="J25" s="9">
        <f t="shared" si="1"/>
        <v>1.0058252427184466</v>
      </c>
    </row>
    <row r="26" spans="1:10" ht="16.5">
      <c r="A26" s="32"/>
      <c r="B26" s="3" t="s">
        <v>18</v>
      </c>
      <c r="C26" s="4">
        <f>765+46</f>
        <v>811</v>
      </c>
      <c r="D26" s="4">
        <v>443</v>
      </c>
      <c r="E26" s="9">
        <f t="shared" si="0"/>
        <v>1.8306997742663658</v>
      </c>
      <c r="F26" s="4">
        <v>38</v>
      </c>
      <c r="G26" s="4">
        <v>123</v>
      </c>
      <c r="H26" s="9">
        <f t="shared" si="3"/>
        <v>0.3089430894308943</v>
      </c>
      <c r="I26" s="12">
        <f t="shared" si="2"/>
        <v>849</v>
      </c>
      <c r="J26" s="9">
        <f t="shared" si="1"/>
        <v>1.5</v>
      </c>
    </row>
    <row r="27" spans="1:10" ht="16.5">
      <c r="A27" s="32"/>
      <c r="B27" s="3" t="s">
        <v>17</v>
      </c>
      <c r="C27" s="4">
        <v>325</v>
      </c>
      <c r="D27" s="4">
        <v>216</v>
      </c>
      <c r="E27" s="9">
        <f t="shared" si="0"/>
        <v>1.5046296296296295</v>
      </c>
      <c r="F27" s="4">
        <f>103+25</f>
        <v>128</v>
      </c>
      <c r="G27" s="4">
        <v>100</v>
      </c>
      <c r="H27" s="9">
        <f t="shared" si="3"/>
        <v>1.28</v>
      </c>
      <c r="I27" s="12">
        <f t="shared" si="2"/>
        <v>453</v>
      </c>
      <c r="J27" s="9">
        <f t="shared" si="1"/>
        <v>1.4335443037974684</v>
      </c>
    </row>
    <row r="28" spans="1:10" ht="16.5">
      <c r="A28" s="32"/>
      <c r="B28" s="1" t="s">
        <v>31</v>
      </c>
      <c r="C28" s="4">
        <v>10</v>
      </c>
      <c r="D28" s="4">
        <v>22</v>
      </c>
      <c r="E28" s="9">
        <f t="shared" si="0"/>
        <v>0.45454545454545453</v>
      </c>
      <c r="F28" s="4">
        <v>14</v>
      </c>
      <c r="G28" s="4">
        <v>60</v>
      </c>
      <c r="H28" s="9">
        <f t="shared" si="3"/>
        <v>0.23333333333333334</v>
      </c>
      <c r="I28" s="12">
        <f t="shared" si="2"/>
        <v>24</v>
      </c>
      <c r="J28" s="9">
        <f t="shared" si="1"/>
        <v>0.2926829268292683</v>
      </c>
    </row>
    <row r="29" spans="1:10" ht="24.75" customHeight="1">
      <c r="A29" s="33"/>
      <c r="B29" s="5" t="s">
        <v>8</v>
      </c>
      <c r="C29" s="6">
        <f>SUM(C24:C28)</f>
        <v>2607</v>
      </c>
      <c r="D29" s="6">
        <f>SUM(D24:D28)</f>
        <v>1521</v>
      </c>
      <c r="E29" s="10">
        <f t="shared" si="0"/>
        <v>1.7140039447731756</v>
      </c>
      <c r="F29" s="6">
        <f>SUM(F24:F28)</f>
        <v>355</v>
      </c>
      <c r="G29" s="6">
        <f>SUM(G24:G28)</f>
        <v>514</v>
      </c>
      <c r="H29" s="10">
        <f t="shared" si="3"/>
        <v>0.6906614785992218</v>
      </c>
      <c r="I29" s="6">
        <f t="shared" si="2"/>
        <v>2962</v>
      </c>
      <c r="J29" s="10">
        <f>(C29+F29)/(D29+G29)</f>
        <v>1.4555282555282556</v>
      </c>
    </row>
    <row r="30" spans="1:10" ht="16.5" customHeight="1">
      <c r="A30" s="23" t="s">
        <v>29</v>
      </c>
      <c r="B30" s="3" t="s">
        <v>22</v>
      </c>
      <c r="C30" s="4">
        <f>1548+60</f>
        <v>1608</v>
      </c>
      <c r="D30" s="4">
        <v>395</v>
      </c>
      <c r="E30" s="9">
        <f>C30/D30</f>
        <v>4.0708860759493675</v>
      </c>
      <c r="F30" s="4">
        <f>381+57</f>
        <v>438</v>
      </c>
      <c r="G30" s="4">
        <v>215</v>
      </c>
      <c r="H30" s="9">
        <f>F30/G30</f>
        <v>2.0372093023255813</v>
      </c>
      <c r="I30" s="12">
        <f t="shared" si="2"/>
        <v>2046</v>
      </c>
      <c r="J30" s="9">
        <f>(C30+F30)/(D30+G30)</f>
        <v>3.3540983606557377</v>
      </c>
    </row>
    <row r="31" spans="1:10" ht="16.5" customHeight="1">
      <c r="A31" s="24"/>
      <c r="B31" s="3" t="s">
        <v>14</v>
      </c>
      <c r="C31" s="4">
        <f>985+53</f>
        <v>1038</v>
      </c>
      <c r="D31" s="4">
        <v>392</v>
      </c>
      <c r="E31" s="9">
        <f>C31/D31</f>
        <v>2.6479591836734695</v>
      </c>
      <c r="F31" s="4">
        <v>30</v>
      </c>
      <c r="G31" s="4">
        <v>113</v>
      </c>
      <c r="H31" s="9">
        <f>F31/G31</f>
        <v>0.26548672566371684</v>
      </c>
      <c r="I31" s="12">
        <f t="shared" si="2"/>
        <v>1068</v>
      </c>
      <c r="J31" s="9">
        <f>(C31+F31)/(D31+G31)</f>
        <v>2.114851485148515</v>
      </c>
    </row>
    <row r="32" spans="1:10" ht="15.75" customHeight="1">
      <c r="A32" s="25"/>
      <c r="B32" s="1" t="s">
        <v>11</v>
      </c>
      <c r="C32" s="4">
        <f>23+13</f>
        <v>36</v>
      </c>
      <c r="D32" s="4">
        <v>23</v>
      </c>
      <c r="E32" s="9">
        <f>C32/D32</f>
        <v>1.565217391304348</v>
      </c>
      <c r="F32" s="4">
        <f>83+16</f>
        <v>99</v>
      </c>
      <c r="G32" s="4">
        <v>56</v>
      </c>
      <c r="H32" s="9">
        <f>F32/G32</f>
        <v>1.7678571428571428</v>
      </c>
      <c r="I32" s="12">
        <f t="shared" si="2"/>
        <v>135</v>
      </c>
      <c r="J32" s="9">
        <f>(C32+F32)/(D32+G32)</f>
        <v>1.7088607594936709</v>
      </c>
    </row>
    <row r="33" spans="1:10" ht="24" customHeight="1">
      <c r="A33" s="26"/>
      <c r="B33" s="5" t="s">
        <v>8</v>
      </c>
      <c r="C33" s="6">
        <f>SUM(C30:C32)</f>
        <v>2682</v>
      </c>
      <c r="D33" s="6">
        <f>SUM(D30:D32)</f>
        <v>810</v>
      </c>
      <c r="E33" s="10">
        <f t="shared" si="0"/>
        <v>3.311111111111111</v>
      </c>
      <c r="F33" s="6">
        <f>SUM(F30:F32)</f>
        <v>567</v>
      </c>
      <c r="G33" s="6">
        <f>SUM(G30:G32)</f>
        <v>384</v>
      </c>
      <c r="H33" s="10">
        <f t="shared" si="3"/>
        <v>1.4765625</v>
      </c>
      <c r="I33" s="6">
        <f t="shared" si="2"/>
        <v>3249</v>
      </c>
      <c r="J33" s="10">
        <f>(C33+F33)/(D33+G33)</f>
        <v>2.721105527638191</v>
      </c>
    </row>
    <row r="34" spans="1:10" ht="31.5" customHeight="1">
      <c r="A34" s="36" t="s">
        <v>19</v>
      </c>
      <c r="B34" s="37"/>
      <c r="C34" s="7">
        <f>C18+C23+C29+C33</f>
        <v>13416</v>
      </c>
      <c r="D34" s="7">
        <f>D18+D23+D29+D33</f>
        <v>6081</v>
      </c>
      <c r="E34" s="11">
        <f t="shared" si="0"/>
        <v>2.206216082881105</v>
      </c>
      <c r="F34" s="7">
        <f>F18+F23+F29+F33</f>
        <v>2333</v>
      </c>
      <c r="G34" s="7">
        <f>G18+G23+G29+G33</f>
        <v>2678</v>
      </c>
      <c r="H34" s="11">
        <f t="shared" si="3"/>
        <v>0.8711725168035848</v>
      </c>
      <c r="I34" s="13">
        <f t="shared" si="2"/>
        <v>15749</v>
      </c>
      <c r="J34" s="11">
        <f t="shared" si="1"/>
        <v>1.798036305514328</v>
      </c>
    </row>
    <row r="36" spans="1:10" ht="16.5">
      <c r="A36" s="29" t="s">
        <v>37</v>
      </c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3">
    <mergeCell ref="A1:J1"/>
    <mergeCell ref="A2:A3"/>
    <mergeCell ref="B2:B3"/>
    <mergeCell ref="C2:E2"/>
    <mergeCell ref="F2:H2"/>
    <mergeCell ref="A4:A18"/>
    <mergeCell ref="J2:J3"/>
    <mergeCell ref="A19:A23"/>
    <mergeCell ref="A24:A29"/>
    <mergeCell ref="I2:I3"/>
    <mergeCell ref="A30:A33"/>
    <mergeCell ref="A34:B34"/>
    <mergeCell ref="A36:J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7.25390625" style="0" customWidth="1"/>
    <col min="2" max="2" width="10.125" style="8" customWidth="1"/>
    <col min="3" max="3" width="9.25390625" style="0" customWidth="1"/>
    <col min="4" max="4" width="6.375" style="0" customWidth="1"/>
    <col min="5" max="5" width="9.125" style="0" customWidth="1"/>
    <col min="6" max="6" width="8.75390625" style="0" customWidth="1"/>
    <col min="7" max="7" width="6.375" style="0" customWidth="1"/>
    <col min="8" max="8" width="9.50390625" style="0" customWidth="1"/>
    <col min="9" max="9" width="10.00390625" style="14" customWidth="1"/>
    <col min="10" max="10" width="8.25390625" style="0" customWidth="1"/>
  </cols>
  <sheetData>
    <row r="1" spans="1:10" ht="30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1" customHeight="1">
      <c r="A2" s="18" t="s">
        <v>0</v>
      </c>
      <c r="B2" s="20" t="s">
        <v>1</v>
      </c>
      <c r="C2" s="22" t="s">
        <v>38</v>
      </c>
      <c r="D2" s="22"/>
      <c r="E2" s="22"/>
      <c r="F2" s="22" t="s">
        <v>39</v>
      </c>
      <c r="G2" s="22"/>
      <c r="H2" s="22"/>
      <c r="I2" s="38" t="s">
        <v>40</v>
      </c>
      <c r="J2" s="27" t="s">
        <v>2</v>
      </c>
    </row>
    <row r="3" spans="1:10" ht="43.5" customHeight="1">
      <c r="A3" s="19"/>
      <c r="B3" s="21"/>
      <c r="C3" s="1" t="s">
        <v>41</v>
      </c>
      <c r="D3" s="2" t="s">
        <v>42</v>
      </c>
      <c r="E3" s="2" t="s">
        <v>43</v>
      </c>
      <c r="F3" s="1" t="s">
        <v>41</v>
      </c>
      <c r="G3" s="2" t="s">
        <v>42</v>
      </c>
      <c r="H3" s="2" t="s">
        <v>43</v>
      </c>
      <c r="I3" s="39"/>
      <c r="J3" s="28"/>
    </row>
    <row r="4" spans="1:10" ht="16.5">
      <c r="A4" s="31" t="s">
        <v>26</v>
      </c>
      <c r="B4" s="3" t="s">
        <v>3</v>
      </c>
      <c r="C4" s="4">
        <f>'1051'!C4+'1052'!C4</f>
        <v>2052</v>
      </c>
      <c r="D4" s="4">
        <f>('1051'!D4+'1052'!D4)/2</f>
        <v>523</v>
      </c>
      <c r="E4" s="9">
        <f aca="true" t="shared" si="0" ref="E4:E34">C4/D4</f>
        <v>3.9235181644359463</v>
      </c>
      <c r="F4" s="4">
        <v>0</v>
      </c>
      <c r="G4" s="4">
        <v>0</v>
      </c>
      <c r="H4" s="9">
        <v>0</v>
      </c>
      <c r="I4" s="12">
        <f>C4+F4</f>
        <v>2052</v>
      </c>
      <c r="J4" s="9">
        <f aca="true" t="shared" si="1" ref="J4:J34">(C4+F4)/(D4+G4)</f>
        <v>3.9235181644359463</v>
      </c>
    </row>
    <row r="5" spans="1:10" ht="16.5">
      <c r="A5" s="32"/>
      <c r="B5" s="3" t="s">
        <v>23</v>
      </c>
      <c r="C5" s="4">
        <f>'1051'!C5+'1052'!C5</f>
        <v>1847</v>
      </c>
      <c r="D5" s="4">
        <f>('1051'!D5+'1052'!D5)/2</f>
        <v>538.5</v>
      </c>
      <c r="E5" s="9">
        <f t="shared" si="0"/>
        <v>3.4298978644382543</v>
      </c>
      <c r="F5" s="4">
        <v>0</v>
      </c>
      <c r="G5" s="4">
        <v>0</v>
      </c>
      <c r="H5" s="9">
        <v>0</v>
      </c>
      <c r="I5" s="12">
        <f aca="true" t="shared" si="2" ref="I5:I34">C5+F5</f>
        <v>1847</v>
      </c>
      <c r="J5" s="9">
        <f t="shared" si="1"/>
        <v>3.4298978644382543</v>
      </c>
    </row>
    <row r="6" spans="1:10" ht="16.5">
      <c r="A6" s="32"/>
      <c r="B6" s="3" t="s">
        <v>27</v>
      </c>
      <c r="C6" s="4">
        <f>'1051'!C6+'1052'!C6</f>
        <v>2837</v>
      </c>
      <c r="D6" s="4">
        <f>('1051'!D6+'1052'!D6)/2</f>
        <v>582</v>
      </c>
      <c r="E6" s="9">
        <f t="shared" si="0"/>
        <v>4.874570446735395</v>
      </c>
      <c r="F6" s="4">
        <v>0</v>
      </c>
      <c r="G6" s="4">
        <v>0</v>
      </c>
      <c r="H6" s="9">
        <v>0</v>
      </c>
      <c r="I6" s="12">
        <f t="shared" si="2"/>
        <v>2837</v>
      </c>
      <c r="J6" s="9">
        <f t="shared" si="1"/>
        <v>4.874570446735395</v>
      </c>
    </row>
    <row r="7" spans="1:10" ht="16.5">
      <c r="A7" s="32"/>
      <c r="B7" s="3" t="s">
        <v>7</v>
      </c>
      <c r="C7" s="4">
        <f>'1051'!C7+'1052'!C7</f>
        <v>1488</v>
      </c>
      <c r="D7" s="4">
        <f>('1051'!D7+'1052'!D7)/2</f>
        <v>439</v>
      </c>
      <c r="E7" s="9">
        <f t="shared" si="0"/>
        <v>3.3895216400911163</v>
      </c>
      <c r="F7" s="4">
        <f>'1051'!F7+'1052'!F7</f>
        <v>290</v>
      </c>
      <c r="G7" s="4">
        <f>('1051'!G7+'1052'!G7)/2</f>
        <v>306</v>
      </c>
      <c r="H7" s="9">
        <f>F7/G7</f>
        <v>0.9477124183006536</v>
      </c>
      <c r="I7" s="12">
        <f t="shared" si="2"/>
        <v>1778</v>
      </c>
      <c r="J7" s="9">
        <f t="shared" si="1"/>
        <v>2.386577181208054</v>
      </c>
    </row>
    <row r="8" spans="1:10" ht="16.5">
      <c r="A8" s="32"/>
      <c r="B8" s="3" t="s">
        <v>5</v>
      </c>
      <c r="C8" s="4">
        <f>'1051'!C8+'1052'!C8</f>
        <v>756</v>
      </c>
      <c r="D8" s="4">
        <f>('1051'!D8+'1052'!D8)/2</f>
        <v>271.5</v>
      </c>
      <c r="E8" s="9">
        <f t="shared" si="0"/>
        <v>2.7845303867403315</v>
      </c>
      <c r="F8" s="4">
        <f>'1051'!F8+'1052'!F8</f>
        <v>103</v>
      </c>
      <c r="G8" s="4">
        <f>('1051'!G8+'1052'!G8)/2</f>
        <v>115.5</v>
      </c>
      <c r="H8" s="9">
        <f>F8/G8</f>
        <v>0.8917748917748918</v>
      </c>
      <c r="I8" s="12">
        <f t="shared" si="2"/>
        <v>859</v>
      </c>
      <c r="J8" s="9">
        <f t="shared" si="1"/>
        <v>2.2196382428940566</v>
      </c>
    </row>
    <row r="9" spans="1:10" ht="16.5">
      <c r="A9" s="32"/>
      <c r="B9" s="3" t="s">
        <v>20</v>
      </c>
      <c r="C9" s="4">
        <f>'1051'!C9+'1052'!C9</f>
        <v>881</v>
      </c>
      <c r="D9" s="4">
        <f>('1051'!D9+'1052'!D9)/2</f>
        <v>275</v>
      </c>
      <c r="E9" s="9">
        <f t="shared" si="0"/>
        <v>3.2036363636363636</v>
      </c>
      <c r="F9" s="4">
        <f>'1051'!F9+'1052'!F9</f>
        <v>96</v>
      </c>
      <c r="G9" s="4">
        <f>('1051'!G9+'1052'!G9)/2</f>
        <v>105</v>
      </c>
      <c r="H9" s="9">
        <f>F9/G9</f>
        <v>0.9142857142857143</v>
      </c>
      <c r="I9" s="12">
        <f t="shared" si="2"/>
        <v>977</v>
      </c>
      <c r="J9" s="9">
        <f t="shared" si="1"/>
        <v>2.5710526315789473</v>
      </c>
    </row>
    <row r="10" spans="1:10" ht="16.5">
      <c r="A10" s="32"/>
      <c r="B10" s="3" t="s">
        <v>32</v>
      </c>
      <c r="C10" s="4">
        <f>'1051'!C10+'1052'!C10</f>
        <v>48</v>
      </c>
      <c r="D10" s="4">
        <f>('1051'!D10+'1052'!D10)/2</f>
        <v>34</v>
      </c>
      <c r="E10" s="9">
        <f t="shared" si="0"/>
        <v>1.411764705882353</v>
      </c>
      <c r="F10" s="4">
        <f>'1051'!F10+'1052'!F10</f>
        <v>39</v>
      </c>
      <c r="G10" s="4">
        <f>('1051'!G10+'1052'!G10)/2</f>
        <v>34</v>
      </c>
      <c r="H10" s="9">
        <f>F10/G10</f>
        <v>1.1470588235294117</v>
      </c>
      <c r="I10" s="12">
        <f t="shared" si="2"/>
        <v>87</v>
      </c>
      <c r="J10" s="9">
        <f t="shared" si="1"/>
        <v>1.2794117647058822</v>
      </c>
    </row>
    <row r="11" spans="1:10" ht="16.5">
      <c r="A11" s="32"/>
      <c r="B11" s="3" t="s">
        <v>4</v>
      </c>
      <c r="C11" s="4">
        <f>'1051'!C11+'1052'!C11</f>
        <v>9</v>
      </c>
      <c r="D11" s="4">
        <f>('1051'!D11+'1052'!D11)/2</f>
        <v>6.5</v>
      </c>
      <c r="E11" s="9">
        <f t="shared" si="0"/>
        <v>1.3846153846153846</v>
      </c>
      <c r="F11" s="4">
        <v>0</v>
      </c>
      <c r="G11" s="4">
        <v>0</v>
      </c>
      <c r="H11" s="9">
        <v>0</v>
      </c>
      <c r="I11" s="12">
        <f t="shared" si="2"/>
        <v>9</v>
      </c>
      <c r="J11" s="9">
        <f t="shared" si="1"/>
        <v>1.3846153846153846</v>
      </c>
    </row>
    <row r="12" spans="1:10" ht="16.5">
      <c r="A12" s="32"/>
      <c r="B12" s="1" t="s">
        <v>24</v>
      </c>
      <c r="C12" s="4">
        <f>'1051'!C12+'1052'!C12</f>
        <v>58</v>
      </c>
      <c r="D12" s="4">
        <f>('1051'!D12+'1052'!D12)/2</f>
        <v>12</v>
      </c>
      <c r="E12" s="9">
        <f t="shared" si="0"/>
        <v>4.833333333333333</v>
      </c>
      <c r="F12" s="4">
        <v>0</v>
      </c>
      <c r="G12" s="4">
        <v>0</v>
      </c>
      <c r="H12" s="9">
        <v>0</v>
      </c>
      <c r="I12" s="12">
        <f t="shared" si="2"/>
        <v>58</v>
      </c>
      <c r="J12" s="9">
        <f t="shared" si="1"/>
        <v>4.833333333333333</v>
      </c>
    </row>
    <row r="13" spans="1:10" ht="16.5">
      <c r="A13" s="32"/>
      <c r="B13" s="1" t="s">
        <v>6</v>
      </c>
      <c r="C13" s="4">
        <f>'1051'!C13+'1052'!C13</f>
        <v>13</v>
      </c>
      <c r="D13" s="4">
        <f>('1051'!D13+'1052'!D13)/2</f>
        <v>6</v>
      </c>
      <c r="E13" s="9">
        <f t="shared" si="0"/>
        <v>2.1666666666666665</v>
      </c>
      <c r="F13" s="4">
        <v>0</v>
      </c>
      <c r="G13" s="4">
        <v>0</v>
      </c>
      <c r="H13" s="9">
        <v>0</v>
      </c>
      <c r="I13" s="12">
        <f t="shared" si="2"/>
        <v>13</v>
      </c>
      <c r="J13" s="9">
        <f t="shared" si="1"/>
        <v>2.1666666666666665</v>
      </c>
    </row>
    <row r="14" spans="1:10" ht="16.5">
      <c r="A14" s="32"/>
      <c r="B14" s="1" t="s">
        <v>36</v>
      </c>
      <c r="C14" s="4">
        <f>'1051'!C14+'1052'!C14</f>
        <v>9</v>
      </c>
      <c r="D14" s="4">
        <f>('1051'!D14+'1052'!D14)/2</f>
        <v>7.5</v>
      </c>
      <c r="E14" s="9">
        <f t="shared" si="0"/>
        <v>1.2</v>
      </c>
      <c r="F14" s="4">
        <v>0</v>
      </c>
      <c r="G14" s="4">
        <v>0</v>
      </c>
      <c r="H14" s="9">
        <v>0</v>
      </c>
      <c r="I14" s="12">
        <f t="shared" si="2"/>
        <v>9</v>
      </c>
      <c r="J14" s="9">
        <f t="shared" si="1"/>
        <v>1.2</v>
      </c>
    </row>
    <row r="15" spans="1:10" ht="16.5">
      <c r="A15" s="32"/>
      <c r="B15" s="1" t="s">
        <v>25</v>
      </c>
      <c r="C15" s="4">
        <f>'1051'!C15+'1052'!C15</f>
        <v>21</v>
      </c>
      <c r="D15" s="4">
        <f>('1051'!D15+'1052'!D15)/2</f>
        <v>12</v>
      </c>
      <c r="E15" s="9">
        <f t="shared" si="0"/>
        <v>1.75</v>
      </c>
      <c r="F15" s="4">
        <v>0</v>
      </c>
      <c r="G15" s="4">
        <v>0</v>
      </c>
      <c r="H15" s="9">
        <v>0</v>
      </c>
      <c r="I15" s="12">
        <f t="shared" si="2"/>
        <v>21</v>
      </c>
      <c r="J15" s="9">
        <f t="shared" si="1"/>
        <v>1.75</v>
      </c>
    </row>
    <row r="16" spans="1:10" ht="16.5">
      <c r="A16" s="32"/>
      <c r="B16" s="1" t="s">
        <v>21</v>
      </c>
      <c r="C16" s="4">
        <f>'1051'!C16+'1052'!C16</f>
        <v>32</v>
      </c>
      <c r="D16" s="4">
        <f>('1051'!D16+'1052'!D16)/2</f>
        <v>8</v>
      </c>
      <c r="E16" s="9">
        <f t="shared" si="0"/>
        <v>4</v>
      </c>
      <c r="F16" s="4">
        <v>0</v>
      </c>
      <c r="G16" s="4">
        <v>0</v>
      </c>
      <c r="H16" s="9">
        <v>0</v>
      </c>
      <c r="I16" s="12">
        <f t="shared" si="2"/>
        <v>32</v>
      </c>
      <c r="J16" s="9">
        <f t="shared" si="1"/>
        <v>4</v>
      </c>
    </row>
    <row r="17" spans="1:10" ht="16.5">
      <c r="A17" s="32"/>
      <c r="B17" s="1" t="s">
        <v>28</v>
      </c>
      <c r="C17" s="4">
        <f>'1051'!C17+'1052'!C17</f>
        <v>2</v>
      </c>
      <c r="D17" s="4">
        <f>('1051'!D17+'1052'!D17)/2</f>
        <v>10</v>
      </c>
      <c r="E17" s="9">
        <f t="shared" si="0"/>
        <v>0.2</v>
      </c>
      <c r="F17" s="4">
        <v>0</v>
      </c>
      <c r="G17" s="4">
        <v>0</v>
      </c>
      <c r="H17" s="9">
        <v>0</v>
      </c>
      <c r="I17" s="12">
        <f t="shared" si="2"/>
        <v>2</v>
      </c>
      <c r="J17" s="9">
        <f t="shared" si="1"/>
        <v>0.2</v>
      </c>
    </row>
    <row r="18" spans="1:10" ht="21">
      <c r="A18" s="33"/>
      <c r="B18" s="5" t="s">
        <v>8</v>
      </c>
      <c r="C18" s="6">
        <f>SUM(C4:C17)</f>
        <v>10053</v>
      </c>
      <c r="D18" s="6">
        <f>SUM(D4:D17)</f>
        <v>2725</v>
      </c>
      <c r="E18" s="10">
        <f t="shared" si="0"/>
        <v>3.6891743119266054</v>
      </c>
      <c r="F18" s="6">
        <f>SUM(F4:F17)</f>
        <v>528</v>
      </c>
      <c r="G18" s="6">
        <f>SUM(G4:G17)</f>
        <v>560.5</v>
      </c>
      <c r="H18" s="10">
        <f aca="true" t="shared" si="3" ref="H18:H34">F18/G18</f>
        <v>0.9420160570918823</v>
      </c>
      <c r="I18" s="6">
        <f t="shared" si="2"/>
        <v>10581</v>
      </c>
      <c r="J18" s="10">
        <f t="shared" si="1"/>
        <v>3.2205143813726984</v>
      </c>
    </row>
    <row r="19" spans="1:10" ht="16.5">
      <c r="A19" s="34" t="s">
        <v>9</v>
      </c>
      <c r="B19" s="3" t="s">
        <v>10</v>
      </c>
      <c r="C19" s="4">
        <f>'1051'!C19+'1052'!C19</f>
        <v>4106</v>
      </c>
      <c r="D19" s="4">
        <f>('1051'!D19+'1052'!D19)/2</f>
        <v>807.5</v>
      </c>
      <c r="E19" s="9">
        <f t="shared" si="0"/>
        <v>5.084829721362229</v>
      </c>
      <c r="F19" s="4">
        <f>'1051'!F19+'1052'!F19</f>
        <v>2386</v>
      </c>
      <c r="G19" s="4">
        <f>('1051'!G19+'1052'!G19)/2</f>
        <v>1218</v>
      </c>
      <c r="H19" s="9">
        <f t="shared" si="3"/>
        <v>1.9589490968801313</v>
      </c>
      <c r="I19" s="12">
        <f t="shared" si="2"/>
        <v>6492</v>
      </c>
      <c r="J19" s="9">
        <f t="shared" si="1"/>
        <v>3.205134534682794</v>
      </c>
    </row>
    <row r="20" spans="1:10" ht="16.5">
      <c r="A20" s="32"/>
      <c r="B20" s="3" t="s">
        <v>12</v>
      </c>
      <c r="C20" s="4">
        <f>'1051'!C20+'1052'!C20</f>
        <v>1850</v>
      </c>
      <c r="D20" s="4">
        <f>('1051'!D20+'1052'!D20)/2</f>
        <v>236</v>
      </c>
      <c r="E20" s="9">
        <f t="shared" si="0"/>
        <v>7.838983050847458</v>
      </c>
      <c r="F20" s="4">
        <f>'1051'!F20+'1052'!F20</f>
        <v>116</v>
      </c>
      <c r="G20" s="4">
        <f>('1051'!G20+'1052'!G20)/2</f>
        <v>91.5</v>
      </c>
      <c r="H20" s="9">
        <f t="shared" si="3"/>
        <v>1.2677595628415301</v>
      </c>
      <c r="I20" s="12">
        <f t="shared" si="2"/>
        <v>1966</v>
      </c>
      <c r="J20" s="9">
        <f t="shared" si="1"/>
        <v>6.003053435114504</v>
      </c>
    </row>
    <row r="21" spans="1:10" ht="16.5">
      <c r="A21" s="32"/>
      <c r="B21" s="3" t="s">
        <v>30</v>
      </c>
      <c r="C21" s="4">
        <f>'1051'!C21+'1052'!C21</f>
        <v>61</v>
      </c>
      <c r="D21" s="4">
        <f>('1051'!D21+'1052'!D21)/2</f>
        <v>30</v>
      </c>
      <c r="E21" s="9">
        <f t="shared" si="0"/>
        <v>2.033333333333333</v>
      </c>
      <c r="F21" s="4">
        <f>'1051'!F21+'1052'!F21</f>
        <v>116</v>
      </c>
      <c r="G21" s="4">
        <f>('1051'!G21+'1052'!G21)/2</f>
        <v>76.5</v>
      </c>
      <c r="H21" s="9">
        <f t="shared" si="3"/>
        <v>1.5163398692810457</v>
      </c>
      <c r="I21" s="12">
        <f t="shared" si="2"/>
        <v>177</v>
      </c>
      <c r="J21" s="9">
        <f t="shared" si="1"/>
        <v>1.6619718309859155</v>
      </c>
    </row>
    <row r="22" spans="1:10" ht="16.5">
      <c r="A22" s="32"/>
      <c r="B22" s="3" t="s">
        <v>34</v>
      </c>
      <c r="C22" s="4">
        <v>0</v>
      </c>
      <c r="D22" s="4">
        <v>0</v>
      </c>
      <c r="E22" s="9">
        <v>0</v>
      </c>
      <c r="F22" s="4">
        <f>'1051'!F22+'1052'!F22</f>
        <v>43</v>
      </c>
      <c r="G22" s="4">
        <f>('1051'!G22+'1052'!G22)/2</f>
        <v>28.5</v>
      </c>
      <c r="H22" s="9">
        <f t="shared" si="3"/>
        <v>1.5087719298245614</v>
      </c>
      <c r="I22" s="12">
        <f t="shared" si="2"/>
        <v>43</v>
      </c>
      <c r="J22" s="9">
        <f t="shared" si="1"/>
        <v>1.5087719298245614</v>
      </c>
    </row>
    <row r="23" spans="1:10" ht="25.5" customHeight="1">
      <c r="A23" s="33"/>
      <c r="B23" s="5" t="s">
        <v>8</v>
      </c>
      <c r="C23" s="6">
        <f>SUM(C19:C22)</f>
        <v>6017</v>
      </c>
      <c r="D23" s="6">
        <f>SUM(D19:D22)</f>
        <v>1073.5</v>
      </c>
      <c r="E23" s="10">
        <f t="shared" si="0"/>
        <v>5.60503027480205</v>
      </c>
      <c r="F23" s="6">
        <f>SUM(F19:F22)</f>
        <v>2661</v>
      </c>
      <c r="G23" s="6">
        <f>SUM(G19:G22)</f>
        <v>1414.5</v>
      </c>
      <c r="H23" s="10">
        <f t="shared" si="3"/>
        <v>1.8812301166489926</v>
      </c>
      <c r="I23" s="6">
        <f t="shared" si="2"/>
        <v>8678</v>
      </c>
      <c r="J23" s="10">
        <f t="shared" si="1"/>
        <v>3.487942122186495</v>
      </c>
    </row>
    <row r="24" spans="1:10" ht="16.5">
      <c r="A24" s="35" t="s">
        <v>13</v>
      </c>
      <c r="B24" s="3" t="s">
        <v>15</v>
      </c>
      <c r="C24" s="4">
        <f>'1051'!C24+'1052'!C24</f>
        <v>2082</v>
      </c>
      <c r="D24" s="4">
        <f>('1051'!D24+'1052'!D24)/2</f>
        <v>445</v>
      </c>
      <c r="E24" s="9">
        <f t="shared" si="0"/>
        <v>4.678651685393258</v>
      </c>
      <c r="F24" s="4">
        <f>'1051'!F24+'1052'!F24</f>
        <v>207</v>
      </c>
      <c r="G24" s="4">
        <f>('1051'!G24+'1052'!G24)/2</f>
        <v>121</v>
      </c>
      <c r="H24" s="9">
        <f t="shared" si="3"/>
        <v>1.7107438016528926</v>
      </c>
      <c r="I24" s="12">
        <f t="shared" si="2"/>
        <v>2289</v>
      </c>
      <c r="J24" s="9">
        <f t="shared" si="1"/>
        <v>4.044169611307421</v>
      </c>
    </row>
    <row r="25" spans="1:10" ht="16.5">
      <c r="A25" s="32"/>
      <c r="B25" s="3" t="s">
        <v>16</v>
      </c>
      <c r="C25" s="4">
        <f>'1051'!C25+'1052'!C25</f>
        <v>1026</v>
      </c>
      <c r="D25" s="4">
        <f>('1051'!D25+'1052'!D25)/2</f>
        <v>411.5</v>
      </c>
      <c r="E25" s="9">
        <f t="shared" si="0"/>
        <v>2.4933171324422845</v>
      </c>
      <c r="F25" s="4">
        <f>'1051'!F25+'1052'!F25</f>
        <v>175</v>
      </c>
      <c r="G25" s="4">
        <f>('1051'!G25+'1052'!G25)/2</f>
        <v>121.5</v>
      </c>
      <c r="H25" s="9">
        <f t="shared" si="3"/>
        <v>1.440329218106996</v>
      </c>
      <c r="I25" s="12">
        <f t="shared" si="2"/>
        <v>1201</v>
      </c>
      <c r="J25" s="9">
        <f t="shared" si="1"/>
        <v>2.2532833020637897</v>
      </c>
    </row>
    <row r="26" spans="1:10" ht="16.5">
      <c r="A26" s="32"/>
      <c r="B26" s="3" t="s">
        <v>18</v>
      </c>
      <c r="C26" s="4">
        <f>'1051'!C26+'1052'!C26</f>
        <v>1891</v>
      </c>
      <c r="D26" s="4">
        <f>('1051'!D26+'1052'!D26)/2</f>
        <v>452.5</v>
      </c>
      <c r="E26" s="9">
        <f t="shared" si="0"/>
        <v>4.1790055248618785</v>
      </c>
      <c r="F26" s="4">
        <f>'1051'!F26+'1052'!F26</f>
        <v>108</v>
      </c>
      <c r="G26" s="4">
        <f>('1051'!G26+'1052'!G26)/2</f>
        <v>129.5</v>
      </c>
      <c r="H26" s="9">
        <f t="shared" si="3"/>
        <v>0.833976833976834</v>
      </c>
      <c r="I26" s="12">
        <f t="shared" si="2"/>
        <v>1999</v>
      </c>
      <c r="J26" s="9">
        <f t="shared" si="1"/>
        <v>3.4347079037800685</v>
      </c>
    </row>
    <row r="27" spans="1:10" ht="16.5">
      <c r="A27" s="32"/>
      <c r="B27" s="3" t="s">
        <v>17</v>
      </c>
      <c r="C27" s="4">
        <f>'1051'!C27+'1052'!C27</f>
        <v>688</v>
      </c>
      <c r="D27" s="4">
        <f>('1051'!D27+'1052'!D27)/2</f>
        <v>221</v>
      </c>
      <c r="E27" s="9">
        <f t="shared" si="0"/>
        <v>3.1131221719457014</v>
      </c>
      <c r="F27" s="4">
        <f>'1051'!F27+'1052'!F27</f>
        <v>267</v>
      </c>
      <c r="G27" s="4">
        <f>('1051'!G27+'1052'!G27)/2</f>
        <v>96</v>
      </c>
      <c r="H27" s="9">
        <f t="shared" si="3"/>
        <v>2.78125</v>
      </c>
      <c r="I27" s="12">
        <f t="shared" si="2"/>
        <v>955</v>
      </c>
      <c r="J27" s="9">
        <f t="shared" si="1"/>
        <v>3.0126182965299684</v>
      </c>
    </row>
    <row r="28" spans="1:10" ht="16.5">
      <c r="A28" s="32"/>
      <c r="B28" s="1" t="s">
        <v>31</v>
      </c>
      <c r="C28" s="4">
        <f>'1051'!C28+'1052'!C28</f>
        <v>56</v>
      </c>
      <c r="D28" s="4">
        <f>('1051'!D28+'1052'!D28)/2</f>
        <v>23.5</v>
      </c>
      <c r="E28" s="9">
        <f t="shared" si="0"/>
        <v>2.382978723404255</v>
      </c>
      <c r="F28" s="4">
        <f>'1051'!F28+'1052'!F28</f>
        <v>24</v>
      </c>
      <c r="G28" s="4">
        <f>('1051'!G28+'1052'!G28)/2</f>
        <v>60.5</v>
      </c>
      <c r="H28" s="9">
        <f t="shared" si="3"/>
        <v>0.39669421487603307</v>
      </c>
      <c r="I28" s="12">
        <f t="shared" si="2"/>
        <v>80</v>
      </c>
      <c r="J28" s="9">
        <f t="shared" si="1"/>
        <v>0.9523809523809523</v>
      </c>
    </row>
    <row r="29" spans="1:10" ht="23.25" customHeight="1">
      <c r="A29" s="33"/>
      <c r="B29" s="5" t="s">
        <v>8</v>
      </c>
      <c r="C29" s="6">
        <f>SUM(C24:C28)</f>
        <v>5743</v>
      </c>
      <c r="D29" s="6">
        <f>SUM(D24:D28)</f>
        <v>1553.5</v>
      </c>
      <c r="E29" s="10">
        <f t="shared" si="0"/>
        <v>3.6968136466044417</v>
      </c>
      <c r="F29" s="6">
        <f>SUM(F24:F28)</f>
        <v>781</v>
      </c>
      <c r="G29" s="6">
        <f>SUM(G24:G28)</f>
        <v>528.5</v>
      </c>
      <c r="H29" s="10">
        <f t="shared" si="3"/>
        <v>1.477767265846736</v>
      </c>
      <c r="I29" s="6">
        <f t="shared" si="2"/>
        <v>6524</v>
      </c>
      <c r="J29" s="10">
        <f>(C29+F29)/(D29+G29)</f>
        <v>3.133525456292027</v>
      </c>
    </row>
    <row r="30" spans="1:10" ht="20.25" customHeight="1">
      <c r="A30" s="23" t="s">
        <v>29</v>
      </c>
      <c r="B30" s="3" t="s">
        <v>22</v>
      </c>
      <c r="C30" s="4">
        <f>'1051'!C30+'1052'!C30</f>
        <v>2935</v>
      </c>
      <c r="D30" s="4">
        <f>('1051'!D30+'1052'!D30)/2</f>
        <v>417.5</v>
      </c>
      <c r="E30" s="9">
        <f>C30/D30</f>
        <v>7.029940119760479</v>
      </c>
      <c r="F30" s="4">
        <f>'1051'!F30+'1052'!F30</f>
        <v>871</v>
      </c>
      <c r="G30" s="4">
        <f>('1051'!G30+'1052'!G30)/2</f>
        <v>223.5</v>
      </c>
      <c r="H30" s="9">
        <f>F30/G30</f>
        <v>3.897091722595078</v>
      </c>
      <c r="I30" s="12">
        <f t="shared" si="2"/>
        <v>3806</v>
      </c>
      <c r="J30" s="9">
        <f>(C30+F30)/(D30+G30)</f>
        <v>5.937597503900156</v>
      </c>
    </row>
    <row r="31" spans="1:10" ht="20.25" customHeight="1">
      <c r="A31" s="24"/>
      <c r="B31" s="3" t="s">
        <v>14</v>
      </c>
      <c r="C31" s="4">
        <f>'1051'!C31+'1052'!C31</f>
        <v>2425</v>
      </c>
      <c r="D31" s="4">
        <f>('1051'!D31+'1052'!D31)/2</f>
        <v>403</v>
      </c>
      <c r="E31" s="9">
        <f>C31/D31</f>
        <v>6.0173697270471465</v>
      </c>
      <c r="F31" s="4">
        <f>'1051'!F31+'1052'!F31</f>
        <v>51</v>
      </c>
      <c r="G31" s="4">
        <f>('1051'!G31+'1052'!G31)/2</f>
        <v>118</v>
      </c>
      <c r="H31" s="9">
        <f>F31/G31</f>
        <v>0.4322033898305085</v>
      </c>
      <c r="I31" s="12">
        <f t="shared" si="2"/>
        <v>2476</v>
      </c>
      <c r="J31" s="9">
        <f>(C31+F31)/(D31+G31)</f>
        <v>4.752399232245681</v>
      </c>
    </row>
    <row r="32" spans="1:10" ht="24" customHeight="1">
      <c r="A32" s="25"/>
      <c r="B32" s="1" t="s">
        <v>11</v>
      </c>
      <c r="C32" s="4">
        <f>'1051'!C32+'1052'!C32</f>
        <v>51</v>
      </c>
      <c r="D32" s="4">
        <f>('1051'!D32+'1052'!D32)/2</f>
        <v>23</v>
      </c>
      <c r="E32" s="9">
        <f>C32/D32</f>
        <v>2.217391304347826</v>
      </c>
      <c r="F32" s="4">
        <f>'1051'!F32+'1052'!F32</f>
        <v>183</v>
      </c>
      <c r="G32" s="4">
        <f>('1051'!G32+'1052'!G32)/2</f>
        <v>57</v>
      </c>
      <c r="H32" s="9">
        <f>F32/G32</f>
        <v>3.210526315789474</v>
      </c>
      <c r="I32" s="12">
        <f t="shared" si="2"/>
        <v>234</v>
      </c>
      <c r="J32" s="9">
        <f>(C32+F32)/(D32+G32)</f>
        <v>2.925</v>
      </c>
    </row>
    <row r="33" spans="1:10" ht="25.5" customHeight="1">
      <c r="A33" s="26"/>
      <c r="B33" s="5" t="s">
        <v>8</v>
      </c>
      <c r="C33" s="6">
        <f>SUM(C30:C32)</f>
        <v>5411</v>
      </c>
      <c r="D33" s="6">
        <f>SUM(D30:D32)</f>
        <v>843.5</v>
      </c>
      <c r="E33" s="10">
        <f t="shared" si="0"/>
        <v>6.4149377593361</v>
      </c>
      <c r="F33" s="6">
        <f>SUM(F30:F32)</f>
        <v>1105</v>
      </c>
      <c r="G33" s="6">
        <f>SUM(G30:G32)</f>
        <v>398.5</v>
      </c>
      <c r="H33" s="10">
        <f t="shared" si="3"/>
        <v>2.7728983688833124</v>
      </c>
      <c r="I33" s="6">
        <f t="shared" si="2"/>
        <v>6516</v>
      </c>
      <c r="J33" s="10">
        <f>(C33+F33)/(D33+G33)</f>
        <v>5.246376811594203</v>
      </c>
    </row>
    <row r="34" spans="1:10" ht="32.25" customHeight="1">
      <c r="A34" s="36" t="s">
        <v>19</v>
      </c>
      <c r="B34" s="37"/>
      <c r="C34" s="7">
        <f>C18+C23+C29+C33</f>
        <v>27224</v>
      </c>
      <c r="D34" s="7">
        <f>D18+D23+D29+D33</f>
        <v>6195.5</v>
      </c>
      <c r="E34" s="11">
        <f t="shared" si="0"/>
        <v>4.39415704947139</v>
      </c>
      <c r="F34" s="7">
        <f>F18+F23+F29+F33</f>
        <v>5075</v>
      </c>
      <c r="G34" s="7">
        <f>G18+G23+G29+G33</f>
        <v>2902</v>
      </c>
      <c r="H34" s="11">
        <f t="shared" si="3"/>
        <v>1.7487939352170916</v>
      </c>
      <c r="I34" s="13">
        <f t="shared" si="2"/>
        <v>32299</v>
      </c>
      <c r="J34" s="11">
        <f t="shared" si="1"/>
        <v>3.5503160208848583</v>
      </c>
    </row>
    <row r="36" spans="1:10" ht="16.5">
      <c r="A36" s="29" t="s">
        <v>37</v>
      </c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3">
    <mergeCell ref="A1:J1"/>
    <mergeCell ref="A2:A3"/>
    <mergeCell ref="B2:B3"/>
    <mergeCell ref="C2:E2"/>
    <mergeCell ref="F2:H2"/>
    <mergeCell ref="J2:J3"/>
    <mergeCell ref="I2:I3"/>
    <mergeCell ref="A4:A18"/>
    <mergeCell ref="A19:A23"/>
    <mergeCell ref="A24:A29"/>
    <mergeCell ref="A30:A33"/>
    <mergeCell ref="A34:B34"/>
    <mergeCell ref="A36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cp:lastPrinted>2016-08-25T08:50:16Z</cp:lastPrinted>
  <dcterms:created xsi:type="dcterms:W3CDTF">2009-10-14T09:28:22Z</dcterms:created>
  <dcterms:modified xsi:type="dcterms:W3CDTF">2017-12-05T07:34:33Z</dcterms:modified>
  <cp:category/>
  <cp:version/>
  <cp:contentType/>
  <cp:contentStatus/>
</cp:coreProperties>
</file>